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دوره تفسیر نتایج آزمایشگاهی\آزمایشات میلگرد\"/>
    </mc:Choice>
  </mc:AlternateContent>
  <bookViews>
    <workbookView xWindow="0" yWindow="0" windowWidth="23040" windowHeight="9384"/>
  </bookViews>
  <sheets>
    <sheet name="راهنما" sheetId="15" r:id="rId1"/>
    <sheet name="ورود اطلاعات آزمایشگاهی" sheetId="14" r:id="rId2"/>
    <sheet name="کنترل نتایج آزمایشگاهی" sheetId="13" r:id="rId3"/>
    <sheet name="DataBase" sheetId="2" r:id="rId4"/>
  </sheets>
  <definedNames>
    <definedName name="_xlnm.Print_Area" localSheetId="0">راهنما!$A$1:$N$26</definedName>
    <definedName name="_xlnm.Print_Area" localSheetId="2">'کنترل نتایج آزمایشگاهی'!$A$1:$Y$32</definedName>
    <definedName name="_xlnm.Print_Area" localSheetId="1">'ورود اطلاعات آزمایشگاهی'!$A$1:$Q$23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3" l="1"/>
  <c r="V18" i="13"/>
  <c r="V19" i="13"/>
  <c r="V20" i="13"/>
  <c r="V21" i="13"/>
  <c r="X18" i="13"/>
  <c r="X19" i="13"/>
  <c r="X20" i="13"/>
  <c r="X21" i="13"/>
  <c r="C18" i="13"/>
  <c r="C19" i="13"/>
  <c r="C20" i="13"/>
  <c r="C21" i="13"/>
  <c r="C17" i="13"/>
  <c r="X17" i="13"/>
  <c r="U18" i="13"/>
  <c r="U19" i="13"/>
  <c r="U20" i="13"/>
  <c r="U21" i="13"/>
  <c r="U17" i="13"/>
  <c r="V17" i="13" s="1"/>
  <c r="E20" i="13"/>
  <c r="S18" i="13"/>
  <c r="T18" i="13"/>
  <c r="S19" i="13"/>
  <c r="T19" i="13"/>
  <c r="S20" i="13"/>
  <c r="T20" i="13"/>
  <c r="S21" i="13"/>
  <c r="T21" i="13"/>
  <c r="S17" i="13"/>
  <c r="T17" i="13"/>
  <c r="Q18" i="13"/>
  <c r="Q19" i="13"/>
  <c r="Q20" i="13"/>
  <c r="Q21" i="13"/>
  <c r="R17" i="13"/>
  <c r="R18" i="13"/>
  <c r="R19" i="13"/>
  <c r="R20" i="13"/>
  <c r="Q17" i="13"/>
  <c r="R21" i="13"/>
  <c r="O18" i="13"/>
  <c r="O19" i="13"/>
  <c r="O20" i="13"/>
  <c r="O21" i="13"/>
  <c r="O17" i="13"/>
  <c r="P18" i="13"/>
  <c r="P19" i="13"/>
  <c r="P20" i="13"/>
  <c r="P21" i="13"/>
  <c r="P17" i="13"/>
  <c r="N18" i="13"/>
  <c r="N19" i="13"/>
  <c r="N20" i="13"/>
  <c r="N21" i="13"/>
  <c r="N17" i="13"/>
  <c r="M18" i="13"/>
  <c r="M19" i="13"/>
  <c r="M20" i="13"/>
  <c r="M21" i="13"/>
  <c r="M17" i="13"/>
  <c r="K18" i="13"/>
  <c r="K19" i="13"/>
  <c r="K20" i="13"/>
  <c r="K21" i="13"/>
  <c r="K17" i="13"/>
  <c r="L18" i="13"/>
  <c r="L19" i="13"/>
  <c r="L20" i="13"/>
  <c r="L21" i="13"/>
  <c r="L17" i="13"/>
  <c r="I18" i="13"/>
  <c r="J29" i="13" s="1"/>
  <c r="J18" i="13"/>
  <c r="I19" i="13"/>
  <c r="J19" i="13"/>
  <c r="I20" i="13"/>
  <c r="J20" i="13"/>
  <c r="I21" i="13"/>
  <c r="J21" i="13"/>
  <c r="I17" i="13"/>
  <c r="J17" i="13"/>
  <c r="E18" i="13"/>
  <c r="E19" i="13"/>
  <c r="E21" i="13"/>
  <c r="E17" i="13"/>
  <c r="V8" i="13"/>
  <c r="V5" i="13"/>
  <c r="F8" i="13"/>
  <c r="E5" i="13"/>
  <c r="N5" i="13"/>
  <c r="N8" i="13"/>
  <c r="G15" i="2"/>
  <c r="J26" i="13" l="1"/>
  <c r="T27" i="13" s="1"/>
  <c r="J30" i="13"/>
  <c r="J27" i="13"/>
  <c r="T26" i="13" s="1"/>
  <c r="G17" i="13"/>
  <c r="H14" i="2" l="1"/>
  <c r="J14" i="2" s="1"/>
  <c r="H16" i="2"/>
  <c r="I16" i="2"/>
  <c r="K16" i="2" s="1"/>
  <c r="J16" i="2"/>
  <c r="I17" i="2"/>
  <c r="K17" i="2" s="1"/>
  <c r="H18" i="2"/>
  <c r="J18" i="2"/>
  <c r="H22" i="2"/>
  <c r="J22" i="2" s="1"/>
  <c r="H24" i="2"/>
  <c r="I24" i="2"/>
  <c r="K24" i="2" s="1"/>
  <c r="J24" i="2"/>
  <c r="I25" i="2"/>
  <c r="K25" i="2" s="1"/>
  <c r="H26" i="2"/>
  <c r="J26" i="2"/>
  <c r="F13" i="2"/>
  <c r="H13" i="2" s="1"/>
  <c r="J13" i="2" s="1"/>
  <c r="F14" i="2"/>
  <c r="G14" i="2"/>
  <c r="I14" i="2" s="1"/>
  <c r="K14" i="2" s="1"/>
  <c r="F15" i="2"/>
  <c r="H15" i="2" s="1"/>
  <c r="J15" i="2" s="1"/>
  <c r="F16" i="2"/>
  <c r="G16" i="2"/>
  <c r="F17" i="2"/>
  <c r="H17" i="2" s="1"/>
  <c r="J17" i="2" s="1"/>
  <c r="G17" i="2"/>
  <c r="F18" i="2"/>
  <c r="F19" i="2"/>
  <c r="H19" i="2" s="1"/>
  <c r="J19" i="2" s="1"/>
  <c r="F20" i="2"/>
  <c r="H20" i="2" s="1"/>
  <c r="J20" i="2" s="1"/>
  <c r="F21" i="2"/>
  <c r="H21" i="2" s="1"/>
  <c r="J21" i="2" s="1"/>
  <c r="F22" i="2"/>
  <c r="G22" i="2"/>
  <c r="I22" i="2" s="1"/>
  <c r="K22" i="2" s="1"/>
  <c r="F23" i="2"/>
  <c r="H23" i="2" s="1"/>
  <c r="J23" i="2" s="1"/>
  <c r="F24" i="2"/>
  <c r="G24" i="2"/>
  <c r="F25" i="2"/>
  <c r="H25" i="2" s="1"/>
  <c r="J25" i="2" s="1"/>
  <c r="G25" i="2"/>
  <c r="F26" i="2"/>
  <c r="F12" i="2"/>
  <c r="H12" i="2" s="1"/>
  <c r="J12" i="2" s="1"/>
  <c r="E13" i="2"/>
  <c r="G13" i="2" s="1"/>
  <c r="I13" i="2" s="1"/>
  <c r="K13" i="2" s="1"/>
  <c r="E14" i="2"/>
  <c r="E15" i="2"/>
  <c r="I15" i="2" s="1"/>
  <c r="K15" i="2" s="1"/>
  <c r="E16" i="2"/>
  <c r="E17" i="2"/>
  <c r="E18" i="2"/>
  <c r="G18" i="2" s="1"/>
  <c r="I18" i="2" s="1"/>
  <c r="K18" i="2" s="1"/>
  <c r="E19" i="2"/>
  <c r="G19" i="2" s="1"/>
  <c r="I19" i="2" s="1"/>
  <c r="K19" i="2" s="1"/>
  <c r="E20" i="2"/>
  <c r="G20" i="2" s="1"/>
  <c r="I20" i="2" s="1"/>
  <c r="K20" i="2" s="1"/>
  <c r="E21" i="2"/>
  <c r="G21" i="2" s="1"/>
  <c r="I21" i="2" s="1"/>
  <c r="K21" i="2" s="1"/>
  <c r="E22" i="2"/>
  <c r="E23" i="2"/>
  <c r="G23" i="2" s="1"/>
  <c r="I23" i="2" s="1"/>
  <c r="K23" i="2" s="1"/>
  <c r="E24" i="2"/>
  <c r="E25" i="2"/>
  <c r="E26" i="2"/>
  <c r="G26" i="2" s="1"/>
  <c r="I26" i="2" s="1"/>
  <c r="K26" i="2" s="1"/>
  <c r="E12" i="2"/>
  <c r="G12" i="2" s="1"/>
  <c r="I12" i="2" s="1"/>
  <c r="K12" i="2" s="1"/>
</calcChain>
</file>

<file path=xl/sharedStrings.xml><?xml version="1.0" encoding="utf-8"?>
<sst xmlns="http://schemas.openxmlformats.org/spreadsheetml/2006/main" count="161" uniqueCount="120">
  <si>
    <t>نام پروژه</t>
  </si>
  <si>
    <t>نام کارخانه</t>
  </si>
  <si>
    <t>fyk</t>
  </si>
  <si>
    <t>fsu</t>
  </si>
  <si>
    <t>تاریخ</t>
  </si>
  <si>
    <t>mm</t>
  </si>
  <si>
    <t>kg/m</t>
  </si>
  <si>
    <t>وزن حجمی فولاد</t>
  </si>
  <si>
    <t>kg/m3</t>
  </si>
  <si>
    <t>e5</t>
  </si>
  <si>
    <t>e10</t>
  </si>
  <si>
    <t>%</t>
  </si>
  <si>
    <t>قطر اسمی</t>
  </si>
  <si>
    <t>سطع مقطع اسمی</t>
  </si>
  <si>
    <t>وزن اسمی واحد طول</t>
  </si>
  <si>
    <t>رواداری</t>
  </si>
  <si>
    <t>d (mm)</t>
  </si>
  <si>
    <t>رواداری وزن</t>
  </si>
  <si>
    <t>رواداری سطح مقطع</t>
  </si>
  <si>
    <t>رواداری قطر اسمی</t>
  </si>
  <si>
    <t>رواداری2</t>
  </si>
  <si>
    <t>رواداری وزن3</t>
  </si>
  <si>
    <t>رواداری سطح مقطع4</t>
  </si>
  <si>
    <t>رواداری قطر اسمی5</t>
  </si>
  <si>
    <t>رده مکانیکی میلگرد</t>
  </si>
  <si>
    <t>S400</t>
  </si>
  <si>
    <t>S340</t>
  </si>
  <si>
    <t>رابطه 9-10-1</t>
  </si>
  <si>
    <t>رابطه 9-10-5</t>
  </si>
  <si>
    <t>رابطه 9-10-6</t>
  </si>
  <si>
    <t>رابطه 9-10-7</t>
  </si>
  <si>
    <t>رابطه 9-10-8</t>
  </si>
  <si>
    <t>جدول 9-10-21</t>
  </si>
  <si>
    <t>S500</t>
  </si>
  <si>
    <t>نام پیمانکار</t>
  </si>
  <si>
    <t>وزن یک متر میلگرد طبق اظهار نظر آزمایشگاه</t>
  </si>
  <si>
    <t>ورود اطلاعات شیت آزمایشگاهی میلگرد</t>
  </si>
  <si>
    <t>ردیف</t>
  </si>
  <si>
    <t>رده مکانیکی میلگرد طبق شناسنامه کارخانه</t>
  </si>
  <si>
    <t>قطر اسمی میلگرد طبق شناسنامه کارخانه</t>
  </si>
  <si>
    <t>بر حسب</t>
  </si>
  <si>
    <t>MPa</t>
  </si>
  <si>
    <t>ازدیاد طول نسبی در حد گسیختگی (%)</t>
  </si>
  <si>
    <t>5d</t>
  </si>
  <si>
    <t>10d</t>
  </si>
  <si>
    <r>
      <t>تنش تسلیم میلگرد طبق اظهار نظر آزمایشگاه (fy</t>
    </r>
    <r>
      <rPr>
        <vertAlign val="subscript"/>
        <sz val="14"/>
        <color theme="1"/>
        <rFont val="B Yekan"/>
        <charset val="178"/>
      </rPr>
      <t>obs</t>
    </r>
    <r>
      <rPr>
        <sz val="14"/>
        <color theme="1"/>
        <rFont val="B Yekan"/>
        <charset val="178"/>
      </rPr>
      <t>)</t>
    </r>
  </si>
  <si>
    <r>
      <t>مقاومت نهایی میلگرد طبق اظهار نظر آزمایشگاه (fsu</t>
    </r>
    <r>
      <rPr>
        <vertAlign val="subscript"/>
        <sz val="14"/>
        <color theme="1"/>
        <rFont val="B Yekan"/>
        <charset val="178"/>
      </rPr>
      <t>obs</t>
    </r>
    <r>
      <rPr>
        <sz val="14"/>
        <color theme="1"/>
        <rFont val="B Yekan"/>
        <charset val="178"/>
      </rPr>
      <t>)</t>
    </r>
  </si>
  <si>
    <t>شماره آزمایشگاهی نمونه</t>
  </si>
  <si>
    <t>نام کارخانه تولیدی میلگرد</t>
  </si>
  <si>
    <t>تاریخ نمونه‌برداری</t>
  </si>
  <si>
    <t>نام کارفرما</t>
  </si>
  <si>
    <t>شماره 10 رقمی استاندارد میلگرد</t>
  </si>
  <si>
    <t>پروژه خیّری اربابی</t>
  </si>
  <si>
    <t>اداره کل نوسازی مدارس استان قم</t>
  </si>
  <si>
    <t>کنترل نتایج آزمایشگاهی میلگرد مصرفی</t>
  </si>
  <si>
    <r>
      <t>(fsu,obs)</t>
    </r>
    <r>
      <rPr>
        <vertAlign val="subscript"/>
        <sz val="11"/>
        <color theme="1"/>
        <rFont val="Cambria"/>
        <family val="1"/>
      </rPr>
      <t>i</t>
    </r>
    <r>
      <rPr>
        <sz val="11"/>
        <color theme="1"/>
        <rFont val="Symbol"/>
        <family val="1"/>
        <charset val="2"/>
      </rPr>
      <t xml:space="preserve">³ </t>
    </r>
    <r>
      <rPr>
        <sz val="11"/>
        <color theme="1"/>
        <rFont val="Cambria"/>
        <family val="1"/>
      </rPr>
      <t>1.25(fy,obs)</t>
    </r>
    <r>
      <rPr>
        <vertAlign val="subscript"/>
        <sz val="11"/>
        <color theme="1"/>
        <rFont val="Cambria"/>
        <family val="1"/>
      </rPr>
      <t>i</t>
    </r>
  </si>
  <si>
    <r>
      <t>|(fy,obs)</t>
    </r>
    <r>
      <rPr>
        <vertAlign val="subscript"/>
        <sz val="10"/>
        <color theme="1"/>
        <rFont val="Cambria"/>
        <family val="1"/>
      </rPr>
      <t>i</t>
    </r>
    <r>
      <rPr>
        <sz val="10"/>
        <color theme="1"/>
        <rFont val="Cambria"/>
        <family val="1"/>
      </rPr>
      <t>-fy</t>
    </r>
    <r>
      <rPr>
        <vertAlign val="subscript"/>
        <sz val="10"/>
        <color theme="1"/>
        <rFont val="Cambria"/>
        <family val="1"/>
      </rPr>
      <t>k</t>
    </r>
    <r>
      <rPr>
        <sz val="10"/>
        <color theme="1"/>
        <rFont val="Calibri Light"/>
        <family val="2"/>
      </rPr>
      <t>|</t>
    </r>
    <r>
      <rPr>
        <sz val="10"/>
        <color theme="1"/>
        <rFont val="Symbol"/>
        <family val="1"/>
        <charset val="2"/>
      </rPr>
      <t xml:space="preserve">£ </t>
    </r>
    <r>
      <rPr>
        <sz val="10"/>
        <color theme="1"/>
        <rFont val="Cambria"/>
        <family val="1"/>
      </rPr>
      <t>125Mpa</t>
    </r>
  </si>
  <si>
    <r>
      <t>(fsu,obs)</t>
    </r>
    <r>
      <rPr>
        <vertAlign val="subscript"/>
        <sz val="10"/>
        <color theme="1"/>
        <rFont val="Cambria"/>
        <family val="1"/>
      </rPr>
      <t>i</t>
    </r>
    <r>
      <rPr>
        <sz val="10"/>
        <color theme="1"/>
        <rFont val="Symbol"/>
        <family val="1"/>
        <charset val="2"/>
      </rPr>
      <t xml:space="preserve">³ </t>
    </r>
    <r>
      <rPr>
        <sz val="10"/>
        <color theme="1"/>
        <rFont val="Cambria"/>
        <family val="1"/>
      </rPr>
      <t>1.25fy</t>
    </r>
    <r>
      <rPr>
        <vertAlign val="subscript"/>
        <sz val="10"/>
        <color theme="1"/>
        <rFont val="Cambria"/>
        <family val="1"/>
      </rPr>
      <t>k</t>
    </r>
  </si>
  <si>
    <r>
      <t>fsu</t>
    </r>
    <r>
      <rPr>
        <sz val="10"/>
        <color theme="1"/>
        <rFont val="Symbol"/>
        <family val="1"/>
        <charset val="2"/>
      </rPr>
      <t xml:space="preserve">³  </t>
    </r>
    <r>
      <rPr>
        <sz val="10"/>
        <color theme="1"/>
        <rFont val="Cambria"/>
        <family val="1"/>
      </rPr>
      <t>1.18(fy,obs)</t>
    </r>
    <r>
      <rPr>
        <vertAlign val="subscript"/>
        <sz val="10"/>
        <color theme="1"/>
        <rFont val="Cambria"/>
        <family val="1"/>
      </rPr>
      <t>i</t>
    </r>
  </si>
  <si>
    <t>کنترل</t>
  </si>
  <si>
    <t>نتیجه</t>
  </si>
  <si>
    <r>
      <t>An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</si>
  <si>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</si>
  <si>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0"/>
        <color theme="1"/>
        <rFont val="Calibri"/>
        <family val="2"/>
      </rPr>
      <t>ε</t>
    </r>
    <r>
      <rPr>
        <vertAlign val="subscript"/>
        <sz val="10"/>
        <color theme="1"/>
        <rFont val="Cambria"/>
        <family val="1"/>
      </rPr>
      <t>5</t>
    </r>
    <r>
      <rPr>
        <sz val="10"/>
        <color theme="1"/>
        <rFont val="Symbol"/>
        <family val="1"/>
        <charset val="2"/>
      </rPr>
      <t>³</t>
    </r>
    <r>
      <rPr>
        <sz val="10"/>
        <color theme="1"/>
        <rFont val="Cambria"/>
        <family val="1"/>
      </rPr>
      <t>18%(AII) or 16%(AIII&amp;AIV)</t>
    </r>
  </si>
  <si>
    <r>
      <rPr>
        <sz val="10"/>
        <color theme="1"/>
        <rFont val="Calibri"/>
        <family val="2"/>
      </rPr>
      <t>ε</t>
    </r>
    <r>
      <rPr>
        <vertAlign val="subscript"/>
        <sz val="10"/>
        <color theme="1"/>
        <rFont val="Cambria"/>
        <family val="1"/>
      </rPr>
      <t>10</t>
    </r>
    <r>
      <rPr>
        <sz val="10"/>
        <color theme="1"/>
        <rFont val="Symbol"/>
        <family val="1"/>
        <charset val="2"/>
      </rPr>
      <t>³</t>
    </r>
    <r>
      <rPr>
        <sz val="10"/>
        <color theme="1"/>
        <rFont val="Cambria"/>
        <family val="1"/>
      </rPr>
      <t>15%(AII) or 12%(AIII&amp;AIV)</t>
    </r>
  </si>
  <si>
    <t>کنترل مشخصات مکانیکی</t>
  </si>
  <si>
    <t>کنترل مشخصات هندسی</t>
  </si>
  <si>
    <t>کنترل ازدیاد طول نسبی</t>
  </si>
  <si>
    <t xml:space="preserve"> بند9-10-7-2-1</t>
  </si>
  <si>
    <t xml:space="preserve"> بند9-10-7-2-2</t>
  </si>
  <si>
    <t xml:space="preserve"> بند9-10-7-2-3</t>
  </si>
  <si>
    <t xml:space="preserve"> بند9-10-7-2-4</t>
  </si>
  <si>
    <t>روابط</t>
  </si>
  <si>
    <t>2-10-9</t>
  </si>
  <si>
    <t>و 9-10-3</t>
  </si>
  <si>
    <t>جدول 9-10-20</t>
  </si>
  <si>
    <t>بند 9-10-7-2-1</t>
  </si>
  <si>
    <t>کنترل رواداری قطر میلگرد مصرفی مطابق با جدول 9-10-20 انجام شده</t>
  </si>
  <si>
    <t>قطر میلگرد مطابق با نتایج آزمایش وزن میلگرد و رابطه 3-4-9</t>
  </si>
  <si>
    <t>* تذکر: شرایط بند 9-10-7-2-5 مربوط به بررسی ضابطه شکل‌پذیری میلگردها تحت آزمون خمش است که مطابق با این بند بایستی کنترل گردد.</t>
  </si>
  <si>
    <t>میلگردها زمانی از نظر مکانیکی قابل قبول شناخته می‌شود که یکی از شرایط بندهای شماره 9-10-7-2-1 یا 9-10-7-2-2 و به طور همزمان همه شرایط بندهای 9-10-7-2-3 و 9-10-7-2-4 و 9-10-7-2-5 برآورده نمایند.</t>
  </si>
  <si>
    <t>تولید میلگرد</t>
  </si>
  <si>
    <t>نمونه‌برداری</t>
  </si>
  <si>
    <t>شماره 10 رقمی</t>
  </si>
  <si>
    <t>استاندارد میلگرد</t>
  </si>
  <si>
    <t>نتیجه نهایی</t>
  </si>
  <si>
    <t>میلگرد مورد آزمایش مطابق با ضوابط مبحث نهم مقررات ملی ساختمان</t>
  </si>
  <si>
    <t>آزمون خمش انجام شود.</t>
  </si>
  <si>
    <t>از نظر خمش بایستی آزمایش و بررسی گردد.</t>
  </si>
  <si>
    <t>نام و امضاء ناظر:</t>
  </si>
  <si>
    <t>درج نظر دستگاه نظارت:</t>
  </si>
  <si>
    <t>39791-1</t>
  </si>
  <si>
    <t>39791-2</t>
  </si>
  <si>
    <t>39791-3</t>
  </si>
  <si>
    <t>39791-4</t>
  </si>
  <si>
    <t>39791-5</t>
  </si>
  <si>
    <t>-</t>
  </si>
  <si>
    <t>97/05/22</t>
  </si>
  <si>
    <t>شرکت فولاد کاوه اروند</t>
  </si>
  <si>
    <r>
      <rPr>
        <sz val="11"/>
        <color theme="1"/>
        <rFont val="Cambria"/>
        <family val="1"/>
      </rPr>
      <t>(fy,obs)</t>
    </r>
    <r>
      <rPr>
        <vertAlign val="subscript"/>
        <sz val="11"/>
        <color theme="1"/>
        <rFont val="Cambria"/>
        <family val="1"/>
      </rPr>
      <t>i</t>
    </r>
    <r>
      <rPr>
        <sz val="11"/>
        <color theme="1"/>
        <rFont val="Symbol"/>
        <family val="1"/>
        <charset val="2"/>
      </rPr>
      <t xml:space="preserve">³ </t>
    </r>
    <r>
      <rPr>
        <sz val="11"/>
        <color theme="1"/>
        <rFont val="Cambria"/>
        <family val="1"/>
      </rPr>
      <t>fy</t>
    </r>
    <r>
      <rPr>
        <vertAlign val="subscript"/>
        <sz val="11"/>
        <color theme="1"/>
        <rFont val="Cambria"/>
        <family val="1"/>
      </rPr>
      <t>k</t>
    </r>
  </si>
  <si>
    <t>میلگرد از نظر مشخصات هندسی (قطر اسمی میلگرد)</t>
  </si>
  <si>
    <t>میلگرد مطابق با مشخصات مکانیکی بند 9-10-7-2-1</t>
  </si>
  <si>
    <t>میلگرد مطابق با مشخصات مکانیکی بند 9-10-7-2-2</t>
  </si>
  <si>
    <t>میلگرد مطابق با مشخصات مکانیکی بند 9-10-7-2-3</t>
  </si>
  <si>
    <t>میلگرد مطابق با مشخصات مکانیکی بند 9-10-7-2-4</t>
  </si>
  <si>
    <t>میلگرد مطابق با مشخصات مکانیکی بند 9-10-7-2-5</t>
  </si>
  <si>
    <t>بند 9-10-7-2 مبحث نهم مقررات ملی ساختمان :</t>
  </si>
  <si>
    <t>تهیه شده توسط: مهندس محمد فلاح اصل (09125528699    -     M.FALLAH.ASL@Gmail.com     -      T.me/mfallahasl)</t>
  </si>
  <si>
    <t>*توضیح: مطابق با اصلاحیه‌ی شماره 1 مبحث نهم ویرایش 1392 شکل پذیری میلگردهای A4 بایستی حداقل در حد مورد انتظار برای میلگرد A3 باشد به طوری که میزان ازدیاد طول نسبی آن در طولی معادل 5 برابر قطر، حداقل 16% باشد.</t>
  </si>
  <si>
    <t>راهنما</t>
  </si>
  <si>
    <t>این فایل توسط مهندس محمد فلاح اصل تهیه شده است و در صورت وجود هر گونه مشکل یا ایراد و یا هر گونه سوال می‌توانید مراتب را از طریق راه های ارتباطی زیر اطلاع رسانی نمایید.</t>
  </si>
  <si>
    <t>تلفن همراه</t>
  </si>
  <si>
    <t>09125528699</t>
  </si>
  <si>
    <t>آیدی تلگرام</t>
  </si>
  <si>
    <t>آدرس ایمیل</t>
  </si>
  <si>
    <t>M.FALLAH.ASL@Gmail.com</t>
  </si>
  <si>
    <t>T.me/mfallahasl</t>
  </si>
  <si>
    <t>سپس می توانید نتایج را بر اساس ضوابط مبحث نهم مقررات ملی ساختمان در شیت همین اکسل به نام "کنترل نتایج آزمایشگاهی" مشاهده نمایید.</t>
  </si>
  <si>
    <t>برای استفاده از این فایل، بایستی ابتدا اطلاعات ارائه شده توسط آزمایشگاه که در گزارش آزمایشگاهی موجود است را در شیت "ورود اطلاعات آزمایشگاهی" وارد کنید.</t>
  </si>
  <si>
    <t>نتایج بر اساس ضوابط مربوط به مشخصات مکانیکی و مشخصات هندسی بررسی شده است و همچنین علاوه بر Ok بودن یا نبودن  نتایج، مقادیر روابط نیز محاسبه شده است و در ستون کنار کنترل ها نوشته شده است تا در صورت وجود اختلاف ناچیز، مهندس ناظر بتواند نتایج روابط را نیز مشاهده و اظهار نظر نماید.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</si>
</sst>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mbria"/>
      <family val="1"/>
    </font>
    <font>
      <vertAlign val="subscript"/>
      <sz val="11"/>
      <color theme="1"/>
      <name val="Cambria"/>
      <family val="1"/>
    </font>
    <font>
      <b/>
      <sz val="11"/>
      <color rgb="FFFFFF00"/>
      <name val="Calibri"/>
      <family val="2"/>
      <scheme val="minor"/>
    </font>
    <font>
      <sz val="12"/>
      <color theme="1"/>
      <name val="B Titr"/>
      <charset val="178"/>
    </font>
    <font>
      <sz val="14"/>
      <color theme="1"/>
      <name val="B Titr"/>
      <charset val="178"/>
    </font>
    <font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22"/>
      <color theme="1"/>
      <name val="B Titr"/>
      <charset val="178"/>
    </font>
    <font>
      <sz val="12"/>
      <color theme="1"/>
      <name val="B Yekan"/>
      <charset val="178"/>
    </font>
    <font>
      <sz val="14"/>
      <color theme="1"/>
      <name val="Times New Roman"/>
      <family val="1"/>
    </font>
    <font>
      <sz val="14"/>
      <color theme="1"/>
      <name val="B Yekan"/>
      <charset val="178"/>
    </font>
    <font>
      <vertAlign val="subscript"/>
      <sz val="14"/>
      <color theme="1"/>
      <name val="B Yekan"/>
      <charset val="178"/>
    </font>
    <font>
      <b/>
      <sz val="14"/>
      <color theme="1"/>
      <name val="Calibri Light"/>
      <family val="2"/>
      <scheme val="major"/>
    </font>
    <font>
      <sz val="14"/>
      <color theme="1"/>
      <name val="B Nazanin"/>
      <charset val="178"/>
    </font>
    <font>
      <sz val="10"/>
      <color theme="1"/>
      <name val="Cambria"/>
      <family val="1"/>
    </font>
    <font>
      <sz val="10"/>
      <color theme="1"/>
      <name val="Symbol"/>
      <family val="1"/>
      <charset val="2"/>
    </font>
    <font>
      <vertAlign val="subscript"/>
      <sz val="10"/>
      <color theme="1"/>
      <name val="Cambria"/>
      <family val="1"/>
    </font>
    <font>
      <sz val="10"/>
      <color theme="1"/>
      <name val="Calibri Light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B Titr"/>
      <charset val="178"/>
    </font>
    <font>
      <sz val="13"/>
      <color theme="1"/>
      <name val="B Titr"/>
      <charset val="178"/>
    </font>
    <font>
      <sz val="13"/>
      <color rgb="FFFFFF00"/>
      <name val="B Titr"/>
      <charset val="178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8" fontId="0" fillId="0" borderId="0" xfId="0" applyNumberForma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 wrapText="1"/>
    </xf>
    <xf numFmtId="18" fontId="14" fillId="0" borderId="0" xfId="0" applyNumberFormat="1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18" fontId="13" fillId="0" borderId="0" xfId="0" applyNumberFormat="1" applyFont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5" fontId="0" fillId="0" borderId="5" xfId="0" applyNumberFormat="1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1" fontId="0" fillId="0" borderId="5" xfId="0" applyNumberFormat="1" applyBorder="1" applyAlignment="1" applyProtection="1">
      <alignment horizontal="center" vertical="center"/>
    </xf>
    <xf numFmtId="165" fontId="0" fillId="0" borderId="43" xfId="0" applyNumberForma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43" xfId="0" applyNumberForma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65" fontId="0" fillId="0" borderId="25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5" fontId="0" fillId="0" borderId="40" xfId="0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1" fontId="0" fillId="0" borderId="40" xfId="0" applyNumberForma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5" fillId="0" borderId="49" xfId="0" applyFont="1" applyFill="1" applyBorder="1" applyAlignment="1" applyProtection="1">
      <alignment vertical="center"/>
    </xf>
    <xf numFmtId="18" fontId="0" fillId="0" borderId="0" xfId="0" applyNumberFormat="1" applyBorder="1" applyAlignment="1" applyProtection="1">
      <alignment horizontal="center" vertical="center"/>
    </xf>
    <xf numFmtId="0" fontId="29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51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1" xfId="0" applyFont="1" applyBorder="1" applyAlignment="1" applyProtection="1">
      <alignment horizontal="center" vertical="center" wrapText="1"/>
    </xf>
    <xf numFmtId="0" fontId="32" fillId="3" borderId="0" xfId="0" applyFont="1" applyFill="1" applyAlignment="1" applyProtection="1">
      <alignment horizontal="center" vertical="center" wrapText="1"/>
    </xf>
    <xf numFmtId="49" fontId="30" fillId="0" borderId="1" xfId="0" applyNumberFormat="1" applyFont="1" applyBorder="1" applyAlignment="1" applyProtection="1">
      <alignment horizontal="center" vertical="center" wrapText="1"/>
    </xf>
    <xf numFmtId="49" fontId="31" fillId="0" borderId="1" xfId="0" applyNumberFormat="1" applyFont="1" applyBorder="1" applyAlignment="1" applyProtection="1">
      <alignment horizontal="center" vertical="center" wrapText="1"/>
    </xf>
    <xf numFmtId="0" fontId="9" fillId="9" borderId="54" xfId="0" applyFont="1" applyFill="1" applyBorder="1" applyAlignment="1" applyProtection="1">
      <alignment horizontal="center" vertical="center"/>
    </xf>
    <xf numFmtId="0" fontId="9" fillId="9" borderId="55" xfId="0" applyFont="1" applyFill="1" applyBorder="1" applyAlignment="1" applyProtection="1">
      <alignment horizontal="center" vertical="center"/>
    </xf>
    <xf numFmtId="0" fontId="9" fillId="9" borderId="56" xfId="0" applyFont="1" applyFill="1" applyBorder="1" applyAlignment="1" applyProtection="1">
      <alignment horizontal="center" vertical="center"/>
    </xf>
    <xf numFmtId="0" fontId="9" fillId="9" borderId="57" xfId="0" applyFont="1" applyFill="1" applyBorder="1" applyAlignment="1" applyProtection="1">
      <alignment horizontal="center" vertical="center"/>
    </xf>
    <xf numFmtId="0" fontId="9" fillId="9" borderId="58" xfId="0" applyFont="1" applyFill="1" applyBorder="1" applyAlignment="1" applyProtection="1">
      <alignment horizontal="center" vertical="center"/>
    </xf>
    <xf numFmtId="0" fontId="9" fillId="9" borderId="59" xfId="0" applyFont="1" applyFill="1" applyBorder="1" applyAlignment="1" applyProtection="1">
      <alignment horizontal="center" vertical="center"/>
    </xf>
    <xf numFmtId="0" fontId="29" fillId="3" borderId="14" xfId="0" applyFont="1" applyFill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1" fontId="17" fillId="0" borderId="22" xfId="0" applyNumberFormat="1" applyFont="1" applyBorder="1" applyAlignment="1" applyProtection="1">
      <alignment horizontal="center" vertical="center" wrapText="1"/>
      <protection locked="0"/>
    </xf>
    <xf numFmtId="1" fontId="17" fillId="0" borderId="12" xfId="0" applyNumberFormat="1" applyFont="1" applyBorder="1" applyAlignment="1" applyProtection="1">
      <alignment horizontal="center" vertical="center" wrapText="1"/>
      <protection locked="0"/>
    </xf>
    <xf numFmtId="1" fontId="17" fillId="0" borderId="23" xfId="0" applyNumberFormat="1" applyFont="1" applyBorder="1" applyAlignment="1" applyProtection="1">
      <alignment horizontal="center" vertical="center" wrapText="1"/>
      <protection locked="0"/>
    </xf>
    <xf numFmtId="1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right" vertical="top"/>
      <protection locked="0"/>
    </xf>
    <xf numFmtId="0" fontId="0" fillId="0" borderId="11" xfId="0" applyBorder="1" applyAlignment="1" applyProtection="1">
      <alignment horizontal="right" vertical="top"/>
      <protection locked="0"/>
    </xf>
    <xf numFmtId="0" fontId="0" fillId="0" borderId="47" xfId="0" applyBorder="1" applyAlignment="1" applyProtection="1">
      <alignment horizontal="right" vertical="top"/>
      <protection locked="0"/>
    </xf>
    <xf numFmtId="0" fontId="0" fillId="0" borderId="49" xfId="0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0" fillId="0" borderId="50" xfId="0" applyBorder="1" applyAlignment="1" applyProtection="1">
      <alignment horizontal="right" vertical="top"/>
      <protection locked="0"/>
    </xf>
    <xf numFmtId="0" fontId="0" fillId="0" borderId="4" xfId="0" applyBorder="1" applyAlignment="1" applyProtection="1">
      <alignment horizontal="right" vertical="top"/>
      <protection locked="0"/>
    </xf>
    <xf numFmtId="0" fontId="0" fillId="0" borderId="7" xfId="0" applyBorder="1" applyAlignment="1" applyProtection="1">
      <alignment horizontal="right" vertical="top"/>
      <protection locked="0"/>
    </xf>
    <xf numFmtId="0" fontId="0" fillId="0" borderId="5" xfId="0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47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26" fillId="8" borderId="0" xfId="0" applyFont="1" applyFill="1" applyBorder="1" applyAlignment="1" applyProtection="1">
      <alignment horizontal="center" vertical="center" wrapText="1"/>
    </xf>
    <xf numFmtId="0" fontId="26" fillId="8" borderId="8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27" fillId="6" borderId="23" xfId="0" applyFont="1" applyFill="1" applyBorder="1" applyAlignment="1" applyProtection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15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textRotation="90" wrapText="1"/>
    </xf>
    <xf numFmtId="0" fontId="7" fillId="7" borderId="28" xfId="0" applyFont="1" applyFill="1" applyBorder="1" applyAlignment="1" applyProtection="1">
      <alignment horizontal="center" vertical="center" textRotation="90" wrapText="1"/>
    </xf>
    <xf numFmtId="0" fontId="7" fillId="7" borderId="13" xfId="0" applyFont="1" applyFill="1" applyBorder="1" applyAlignment="1" applyProtection="1">
      <alignment horizontal="center" vertical="center" textRotation="90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5" fillId="6" borderId="37" xfId="0" applyFont="1" applyFill="1" applyBorder="1" applyAlignment="1" applyProtection="1">
      <alignment horizontal="center" vertical="center"/>
    </xf>
    <xf numFmtId="0" fontId="5" fillId="6" borderId="34" xfId="0" applyFont="1" applyFill="1" applyBorder="1" applyAlignment="1" applyProtection="1">
      <alignment horizontal="center" vertical="center"/>
    </xf>
    <xf numFmtId="0" fontId="28" fillId="0" borderId="33" xfId="0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/>
    </xf>
    <xf numFmtId="0" fontId="28" fillId="0" borderId="34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1" fontId="17" fillId="0" borderId="22" xfId="0" applyNumberFormat="1" applyFont="1" applyBorder="1" applyAlignment="1" applyProtection="1">
      <alignment horizontal="center" vertical="center" wrapText="1"/>
    </xf>
    <xf numFmtId="1" fontId="17" fillId="0" borderId="11" xfId="0" applyNumberFormat="1" applyFont="1" applyBorder="1" applyAlignment="1" applyProtection="1">
      <alignment horizontal="center" vertical="center" wrapText="1"/>
    </xf>
    <xf numFmtId="1" fontId="17" fillId="0" borderId="12" xfId="0" applyNumberFormat="1" applyFont="1" applyBorder="1" applyAlignment="1" applyProtection="1">
      <alignment horizontal="center" vertical="center" wrapText="1"/>
    </xf>
    <xf numFmtId="1" fontId="17" fillId="0" borderId="23" xfId="0" applyNumberFormat="1" applyFont="1" applyBorder="1" applyAlignment="1" applyProtection="1">
      <alignment horizontal="center" vertical="center" wrapText="1"/>
    </xf>
    <xf numFmtId="1" fontId="17" fillId="0" borderId="14" xfId="0" applyNumberFormat="1" applyFont="1" applyBorder="1" applyAlignment="1" applyProtection="1">
      <alignment horizontal="center" vertical="center" wrapText="1"/>
    </xf>
    <xf numFmtId="1" fontId="17" fillId="0" borderId="15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readingOrder="2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right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50" xfId="0" applyFont="1" applyFill="1" applyBorder="1" applyAlignment="1" applyProtection="1">
      <alignment horizontal="center" vertical="center" wrapText="1"/>
    </xf>
    <xf numFmtId="0" fontId="23" fillId="2" borderId="42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5" xfId="0" applyFont="1" applyFill="1" applyBorder="1" applyAlignment="1" applyProtection="1">
      <alignment horizontal="center" vertical="center" wrapText="1"/>
    </xf>
    <xf numFmtId="0" fontId="0" fillId="2" borderId="63" xfId="0" applyFill="1" applyBorder="1" applyAlignment="1" applyProtection="1">
      <alignment horizontal="center" vertical="center" wrapText="1" readingOrder="2"/>
    </xf>
    <xf numFmtId="0" fontId="0" fillId="2" borderId="6" xfId="0" applyFill="1" applyBorder="1" applyAlignment="1" applyProtection="1">
      <alignment horizontal="center" vertical="center" wrapText="1" readingOrder="2"/>
    </xf>
    <xf numFmtId="0" fontId="0" fillId="2" borderId="3" xfId="0" applyFill="1" applyBorder="1" applyAlignment="1" applyProtection="1">
      <alignment horizontal="center" vertical="center" wrapText="1" readingOrder="2"/>
    </xf>
    <xf numFmtId="0" fontId="23" fillId="2" borderId="8" xfId="0" applyFont="1" applyFill="1" applyBorder="1" applyAlignment="1" applyProtection="1">
      <alignment horizontal="center" vertical="center" textRotation="90" wrapText="1"/>
    </xf>
    <xf numFmtId="0" fontId="23" fillId="2" borderId="43" xfId="0" applyFont="1" applyFill="1" applyBorder="1" applyAlignment="1" applyProtection="1">
      <alignment horizontal="center" vertical="center" textRotation="90" wrapText="1"/>
    </xf>
    <xf numFmtId="2" fontId="24" fillId="0" borderId="4" xfId="0" applyNumberFormat="1" applyFont="1" applyBorder="1" applyAlignment="1" applyProtection="1">
      <alignment horizontal="center" vertical="center" wrapText="1"/>
    </xf>
    <xf numFmtId="2" fontId="24" fillId="0" borderId="5" xfId="0" applyNumberFormat="1" applyFont="1" applyBorder="1" applyAlignment="1" applyProtection="1">
      <alignment horizontal="center" vertical="center" wrapText="1"/>
    </xf>
    <xf numFmtId="2" fontId="24" fillId="0" borderId="21" xfId="0" applyNumberFormat="1" applyFont="1" applyBorder="1" applyAlignment="1" applyProtection="1">
      <alignment horizontal="center" vertical="center" wrapText="1"/>
    </xf>
    <xf numFmtId="2" fontId="24" fillId="0" borderId="25" xfId="0" applyNumberFormat="1" applyFont="1" applyBorder="1" applyAlignment="1" applyProtection="1">
      <alignment horizontal="center" vertical="center" wrapText="1"/>
    </xf>
    <xf numFmtId="0" fontId="14" fillId="0" borderId="60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61" xfId="0" applyFont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49" fontId="0" fillId="2" borderId="49" xfId="0" applyNumberFormat="1" applyFont="1" applyFill="1" applyBorder="1" applyAlignment="1" applyProtection="1">
      <alignment horizontal="center" vertical="center" wrapText="1"/>
    </xf>
    <xf numFmtId="49" fontId="0" fillId="2" borderId="8" xfId="0" applyNumberFormat="1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43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 wrapText="1" readingOrder="1"/>
    </xf>
    <xf numFmtId="0" fontId="24" fillId="2" borderId="65" xfId="0" applyFont="1" applyFill="1" applyBorder="1" applyAlignment="1" applyProtection="1">
      <alignment horizontal="center" vertical="center" wrapText="1" readingOrder="1"/>
    </xf>
    <xf numFmtId="0" fontId="0" fillId="2" borderId="2" xfId="0" applyFill="1" applyBorder="1" applyAlignment="1" applyProtection="1">
      <alignment horizontal="center" vertical="center" wrapText="1" readingOrder="1"/>
    </xf>
    <xf numFmtId="0" fontId="0" fillId="2" borderId="65" xfId="0" applyFill="1" applyBorder="1" applyAlignment="1" applyProtection="1">
      <alignment horizontal="center" vertical="center" wrapText="1" readingOrder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50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 readingOrder="1"/>
    </xf>
    <xf numFmtId="0" fontId="0" fillId="2" borderId="3" xfId="0" applyFill="1" applyBorder="1" applyAlignment="1" applyProtection="1">
      <alignment horizontal="center" vertical="center" wrapText="1" readingOrder="1"/>
    </xf>
    <xf numFmtId="0" fontId="0" fillId="2" borderId="0" xfId="0" applyFill="1" applyBorder="1" applyAlignment="1" applyProtection="1">
      <alignment horizontal="center" vertical="center" wrapText="1" readingOrder="1"/>
    </xf>
    <xf numFmtId="0" fontId="0" fillId="2" borderId="8" xfId="0" applyFill="1" applyBorder="1" applyAlignment="1" applyProtection="1">
      <alignment horizontal="center" vertical="center" wrapText="1" readingOrder="1"/>
    </xf>
    <xf numFmtId="0" fontId="0" fillId="2" borderId="37" xfId="0" applyFill="1" applyBorder="1" applyAlignment="1" applyProtection="1">
      <alignment horizontal="center" vertical="center" wrapText="1" readingOrder="1"/>
    </xf>
    <xf numFmtId="0" fontId="0" fillId="2" borderId="35" xfId="0" applyFill="1" applyBorder="1" applyAlignment="1" applyProtection="1">
      <alignment horizontal="center" vertical="center" wrapText="1" readingOrder="1"/>
    </xf>
    <xf numFmtId="0" fontId="0" fillId="2" borderId="34" xfId="0" applyFill="1" applyBorder="1" applyAlignment="1" applyProtection="1">
      <alignment horizontal="center" vertical="center" wrapText="1" readingOrder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center" vertical="center" wrapText="1"/>
    </xf>
    <xf numFmtId="0" fontId="18" fillId="2" borderId="42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4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 readingOrder="2"/>
    </xf>
    <xf numFmtId="0" fontId="0" fillId="2" borderId="65" xfId="0" applyFill="1" applyBorder="1" applyAlignment="1" applyProtection="1">
      <alignment horizontal="center" vertical="center" wrapText="1" readingOrder="2"/>
    </xf>
    <xf numFmtId="0" fontId="18" fillId="2" borderId="49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43" xfId="0" applyFont="1" applyFill="1" applyBorder="1" applyAlignment="1" applyProtection="1">
      <alignment horizontal="center" vertical="center" wrapText="1"/>
    </xf>
    <xf numFmtId="0" fontId="24" fillId="2" borderId="36" xfId="0" applyFont="1" applyFill="1" applyBorder="1" applyAlignment="1" applyProtection="1">
      <alignment horizontal="center" vertical="center" wrapText="1" readingOrder="1"/>
    </xf>
    <xf numFmtId="0" fontId="24" fillId="2" borderId="34" xfId="0" applyFont="1" applyFill="1" applyBorder="1" applyAlignment="1" applyProtection="1">
      <alignment horizontal="center" vertical="center" wrapText="1" readingOrder="1"/>
    </xf>
    <xf numFmtId="0" fontId="0" fillId="2" borderId="28" xfId="0" applyFill="1" applyBorder="1" applyAlignment="1" applyProtection="1">
      <alignment horizontal="center" vertical="center" wrapText="1" readingOrder="2"/>
    </xf>
    <xf numFmtId="0" fontId="0" fillId="2" borderId="50" xfId="0" applyFill="1" applyBorder="1" applyAlignment="1" applyProtection="1">
      <alignment horizontal="center" vertical="center" wrapText="1" readingOrder="2"/>
    </xf>
    <xf numFmtId="0" fontId="17" fillId="0" borderId="22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 textRotation="90" wrapText="1"/>
    </xf>
    <xf numFmtId="0" fontId="0" fillId="0" borderId="8" xfId="0" applyBorder="1" applyAlignment="1" applyProtection="1">
      <alignment horizontal="center" vertical="center" textRotation="90" wrapText="1"/>
    </xf>
    <xf numFmtId="0" fontId="0" fillId="0" borderId="23" xfId="0" applyBorder="1" applyAlignment="1" applyProtection="1">
      <alignment horizontal="center" vertical="center" textRotation="90" wrapText="1"/>
    </xf>
    <xf numFmtId="0" fontId="0" fillId="0" borderId="15" xfId="0" applyBorder="1" applyAlignment="1" applyProtection="1">
      <alignment horizontal="center" vertical="center" textRotation="90" wrapText="1"/>
    </xf>
    <xf numFmtId="0" fontId="14" fillId="0" borderId="30" xfId="0" applyFont="1" applyBorder="1" applyAlignment="1" applyProtection="1">
      <alignment horizontal="center" vertical="center" textRotation="90"/>
    </xf>
    <xf numFmtId="0" fontId="14" fillId="0" borderId="32" xfId="0" applyFont="1" applyBorder="1" applyAlignment="1" applyProtection="1">
      <alignment horizontal="center" vertical="center" textRotation="90"/>
    </xf>
    <xf numFmtId="0" fontId="14" fillId="0" borderId="31" xfId="0" applyFont="1" applyBorder="1" applyAlignment="1" applyProtection="1">
      <alignment horizontal="center" vertical="center" textRotation="90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12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textRotation="90" wrapText="1"/>
    </xf>
    <xf numFmtId="0" fontId="12" fillId="0" borderId="8" xfId="0" applyFont="1" applyBorder="1" applyAlignment="1" applyProtection="1">
      <alignment horizontal="center" vertical="center" textRotation="90" wrapText="1"/>
    </xf>
    <xf numFmtId="0" fontId="12" fillId="0" borderId="14" xfId="0" applyFont="1" applyBorder="1" applyAlignment="1" applyProtection="1">
      <alignment horizontal="center" vertical="center" textRotation="90" wrapText="1"/>
    </xf>
    <xf numFmtId="0" fontId="12" fillId="0" borderId="15" xfId="0" applyFont="1" applyBorder="1" applyAlignment="1" applyProtection="1">
      <alignment horizontal="center" vertical="center" textRotation="90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 readingOrder="2"/>
    </xf>
  </cellXfs>
  <cellStyles count="1">
    <cellStyle name="Normal" xfId="0" builtinId="0"/>
  </cellStyles>
  <dxfs count="37"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0:K26" totalsRowShown="0" headerRowDxfId="19" dataDxfId="18">
  <autoFilter ref="A10:K26"/>
  <tableColumns count="11">
    <tableColumn id="1" name="قطر اسمی" dataDxfId="17"/>
    <tableColumn id="2" name="سطع مقطع اسمی" dataDxfId="16"/>
    <tableColumn id="3" name="وزن اسمی واحد طول" dataDxfId="15"/>
    <tableColumn id="4" name="رواداری" dataDxfId="14"/>
    <tableColumn id="5" name="رواداری2" dataDxfId="13">
      <calculatedColumnFormula>D11*-1</calculatedColumnFormula>
    </tableColumn>
    <tableColumn id="6" name="رواداری وزن" dataDxfId="12">
      <calculatedColumnFormula>C11*(1+D11%)</calculatedColumnFormula>
    </tableColumn>
    <tableColumn id="7" name="رواداری وزن3" dataDxfId="11">
      <calculatedColumnFormula>C11*(1+E11%)</calculatedColumnFormula>
    </tableColumn>
    <tableColumn id="8" name="رواداری سطح مقطع" dataDxfId="10">
      <calculatedColumnFormula>(F11*1000)/(0.00785*1000)</calculatedColumnFormula>
    </tableColumn>
    <tableColumn id="9" name="رواداری سطح مقطع4" dataDxfId="9">
      <calculatedColumnFormula>(G11*1000)/(0.00785*1000)</calculatedColumnFormula>
    </tableColumn>
    <tableColumn id="10" name="رواداری قطر اسمی" dataDxfId="8">
      <calculatedColumnFormula>2*(H11/PI())^0.5</calculatedColumnFormula>
    </tableColumn>
    <tableColumn id="11" name="رواداری قطر اسمی5" dataDxfId="7">
      <calculatedColumnFormula>2*(I11/PI())^0.5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E7" totalsRowShown="0" headerRowDxfId="6" dataDxfId="5">
  <autoFilter ref="A4:E7"/>
  <tableColumns count="5">
    <tableColumn id="1" name="رده مکانیکی میلگرد" dataDxfId="4"/>
    <tableColumn id="2" name="fyk" dataDxfId="3"/>
    <tableColumn id="3" name="fsu" dataDxfId="2"/>
    <tableColumn id="4" name="e5" dataDxfId="1"/>
    <tableColumn id="5" name="e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abSelected="1" view="pageBreakPreview" zoomScaleNormal="100" zoomScaleSheetLayoutView="100" workbookViewId="0">
      <selection activeCell="A7" sqref="A1:XFD1048576"/>
    </sheetView>
  </sheetViews>
  <sheetFormatPr defaultRowHeight="14.4" x14ac:dyDescent="0.3"/>
  <cols>
    <col min="3" max="3" width="11" bestFit="1" customWidth="1"/>
    <col min="5" max="5" width="10.6640625" customWidth="1"/>
  </cols>
  <sheetData>
    <row r="1" spans="1:14" ht="15" thickBot="1" x14ac:dyDescent="0.3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4.4" customHeight="1" x14ac:dyDescent="0.3">
      <c r="A2" s="84"/>
      <c r="B2" s="85"/>
      <c r="C2" s="84"/>
      <c r="D2" s="85"/>
      <c r="E2" s="95" t="s">
        <v>109</v>
      </c>
      <c r="F2" s="96"/>
      <c r="G2" s="96"/>
      <c r="H2" s="96"/>
      <c r="I2" s="96"/>
      <c r="J2" s="97"/>
      <c r="K2" s="84"/>
      <c r="L2" s="84"/>
      <c r="M2" s="84"/>
      <c r="N2" s="84"/>
    </row>
    <row r="3" spans="1:14" ht="14.4" customHeight="1" thickBot="1" x14ac:dyDescent="0.35">
      <c r="A3" s="85"/>
      <c r="B3" s="85"/>
      <c r="C3" s="85"/>
      <c r="D3" s="85"/>
      <c r="E3" s="98"/>
      <c r="F3" s="99"/>
      <c r="G3" s="99"/>
      <c r="H3" s="99"/>
      <c r="I3" s="99"/>
      <c r="J3" s="100"/>
      <c r="K3" s="84"/>
      <c r="L3" s="84"/>
      <c r="M3" s="84"/>
      <c r="N3" s="84"/>
    </row>
    <row r="4" spans="1:14" ht="7.8" customHeight="1" x14ac:dyDescent="0.3">
      <c r="A4" s="85"/>
      <c r="B4" s="85"/>
      <c r="C4" s="85"/>
      <c r="D4" s="85"/>
      <c r="E4" s="86"/>
      <c r="F4" s="86"/>
      <c r="G4" s="86"/>
      <c r="H4" s="86"/>
      <c r="I4" s="86"/>
      <c r="J4" s="86"/>
      <c r="K4" s="84"/>
      <c r="L4" s="84"/>
      <c r="M4" s="84"/>
      <c r="N4" s="84"/>
    </row>
    <row r="5" spans="1:14" ht="17.399999999999999" customHeight="1" x14ac:dyDescent="0.3">
      <c r="A5" s="84"/>
      <c r="B5" s="91" t="s">
        <v>118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84"/>
    </row>
    <row r="6" spans="1:14" ht="32.4" customHeight="1" x14ac:dyDescent="0.3">
      <c r="A6" s="87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84"/>
    </row>
    <row r="7" spans="1:14" ht="6" customHeight="1" x14ac:dyDescent="0.3">
      <c r="A7" s="87"/>
      <c r="B7" s="87"/>
      <c r="C7" s="87"/>
      <c r="D7" s="87"/>
      <c r="E7" s="87"/>
      <c r="F7" s="87"/>
      <c r="G7" s="87"/>
      <c r="H7" s="87"/>
      <c r="I7" s="87"/>
      <c r="J7" s="87"/>
      <c r="K7" s="84"/>
      <c r="L7" s="84"/>
      <c r="M7" s="84"/>
      <c r="N7" s="84"/>
    </row>
    <row r="8" spans="1:14" ht="27.6" customHeight="1" x14ac:dyDescent="0.3">
      <c r="A8" s="84"/>
      <c r="B8" s="91" t="s">
        <v>117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84"/>
    </row>
    <row r="9" spans="1:14" ht="20.399999999999999" customHeight="1" x14ac:dyDescent="0.3">
      <c r="A9" s="87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84"/>
    </row>
    <row r="10" spans="1:14" ht="6.6" customHeight="1" x14ac:dyDescent="0.3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4"/>
      <c r="L10" s="84"/>
      <c r="M10" s="84"/>
      <c r="N10" s="84"/>
    </row>
    <row r="11" spans="1:14" ht="41.4" customHeight="1" x14ac:dyDescent="0.3">
      <c r="A11" s="84"/>
      <c r="B11" s="91" t="s">
        <v>119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84"/>
    </row>
    <row r="12" spans="1:14" ht="36" customHeight="1" x14ac:dyDescent="0.3">
      <c r="A12" s="87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84"/>
    </row>
    <row r="13" spans="1:14" x14ac:dyDescent="0.3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27" customHeight="1" x14ac:dyDescent="0.3">
      <c r="A14" s="84"/>
      <c r="B14" s="92" t="s">
        <v>110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4"/>
    </row>
    <row r="15" spans="1:14" ht="26.4" customHeight="1" x14ac:dyDescent="0.35">
      <c r="A15" s="8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84"/>
    </row>
    <row r="16" spans="1:14" ht="7.2" customHeight="1" x14ac:dyDescent="0.3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4"/>
    </row>
    <row r="17" spans="1:14" ht="27.6" customHeight="1" x14ac:dyDescent="0.35">
      <c r="A17" s="89"/>
      <c r="B17" s="89"/>
      <c r="C17" s="89"/>
      <c r="D17" s="89"/>
      <c r="E17" s="91" t="s">
        <v>111</v>
      </c>
      <c r="F17" s="91"/>
      <c r="G17" s="93" t="s">
        <v>112</v>
      </c>
      <c r="H17" s="93"/>
      <c r="I17" s="93"/>
      <c r="J17" s="93"/>
      <c r="K17" s="84"/>
      <c r="L17" s="84"/>
      <c r="M17" s="84"/>
      <c r="N17" s="84"/>
    </row>
    <row r="18" spans="1:14" ht="6.6" customHeight="1" x14ac:dyDescent="0.35">
      <c r="A18" s="89"/>
      <c r="B18" s="89"/>
      <c r="C18" s="89"/>
      <c r="D18" s="89"/>
      <c r="E18" s="90"/>
      <c r="F18" s="90"/>
      <c r="G18" s="90"/>
      <c r="H18" s="90"/>
      <c r="I18" s="90"/>
      <c r="J18" s="84"/>
      <c r="K18" s="84"/>
      <c r="L18" s="84"/>
      <c r="M18" s="84"/>
      <c r="N18" s="84"/>
    </row>
    <row r="19" spans="1:14" ht="27.6" customHeight="1" x14ac:dyDescent="0.35">
      <c r="A19" s="89"/>
      <c r="B19" s="89"/>
      <c r="C19" s="89"/>
      <c r="D19" s="89"/>
      <c r="E19" s="91" t="s">
        <v>113</v>
      </c>
      <c r="F19" s="91"/>
      <c r="G19" s="94" t="s">
        <v>116</v>
      </c>
      <c r="H19" s="94"/>
      <c r="I19" s="94"/>
      <c r="J19" s="94"/>
      <c r="K19" s="84"/>
      <c r="L19" s="84"/>
      <c r="M19" s="84"/>
      <c r="N19" s="84"/>
    </row>
    <row r="20" spans="1:14" ht="6.6" customHeight="1" x14ac:dyDescent="0.3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27.6" customHeight="1" x14ac:dyDescent="0.3">
      <c r="A21" s="84"/>
      <c r="B21" s="84"/>
      <c r="C21" s="84"/>
      <c r="D21" s="84"/>
      <c r="E21" s="91" t="s">
        <v>114</v>
      </c>
      <c r="F21" s="91"/>
      <c r="G21" s="93" t="s">
        <v>115</v>
      </c>
      <c r="H21" s="93"/>
      <c r="I21" s="93"/>
      <c r="J21" s="93"/>
      <c r="K21" s="84"/>
      <c r="L21" s="84"/>
      <c r="M21" s="84"/>
      <c r="N21" s="84"/>
    </row>
    <row r="22" spans="1:14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x14ac:dyDescent="0.3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x14ac:dyDescent="0.3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x14ac:dyDescent="0.3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4" x14ac:dyDescent="0.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</sheetData>
  <sheetProtection algorithmName="SHA-512" hashValue="Af483gY1BT1rknyEHRLltfWVqEtWEAzC9Dbe/42G+9MNn+i+Rf41Pyn/uj5jReHARvKhgHPQQG61HPYf/NOiBg==" saltValue="LoRp1UntgBnttZtG9pCZvg==" spinCount="100000" sheet="1" objects="1" scenarios="1" selectLockedCells="1"/>
  <mergeCells count="11">
    <mergeCell ref="E2:J3"/>
    <mergeCell ref="B5:M6"/>
    <mergeCell ref="B8:M9"/>
    <mergeCell ref="B11:M12"/>
    <mergeCell ref="B14:M15"/>
    <mergeCell ref="G21:J21"/>
    <mergeCell ref="G19:J19"/>
    <mergeCell ref="G17:J17"/>
    <mergeCell ref="E19:F19"/>
    <mergeCell ref="E21:F21"/>
    <mergeCell ref="E17:F17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view="pageBreakPreview" topLeftCell="A7" zoomScale="115" zoomScaleNormal="100" zoomScaleSheetLayoutView="115" workbookViewId="0">
      <selection activeCell="E15" sqref="E15:F15"/>
    </sheetView>
  </sheetViews>
  <sheetFormatPr defaultRowHeight="14.4" x14ac:dyDescent="0.3"/>
  <cols>
    <col min="1" max="1" width="3.77734375" style="1" customWidth="1"/>
    <col min="2" max="16" width="9.33203125" style="1" customWidth="1"/>
    <col min="17" max="17" width="3.109375" style="1" customWidth="1"/>
    <col min="18" max="18" width="8.88671875" style="1" customWidth="1"/>
    <col min="19" max="16384" width="8.88671875" style="1"/>
  </cols>
  <sheetData>
    <row r="1" spans="1:18" s="6" customFormat="1" ht="15" thickBot="1" x14ac:dyDescent="0.35"/>
    <row r="2" spans="1:18" ht="19.95" customHeight="1" thickTop="1" x14ac:dyDescent="0.3">
      <c r="A2" s="60"/>
      <c r="B2" s="139" t="s">
        <v>36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</row>
    <row r="3" spans="1:18" ht="19.95" customHeight="1" thickBot="1" x14ac:dyDescent="0.35">
      <c r="A3" s="60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1:18" s="6" customFormat="1" ht="15.6" thickTop="1" thickBot="1" x14ac:dyDescent="0.35">
      <c r="I4" s="9"/>
      <c r="J4" s="9"/>
      <c r="K4" s="9"/>
      <c r="L4" s="80"/>
      <c r="P4" s="10"/>
    </row>
    <row r="5" spans="1:18" ht="30" customHeight="1" thickTop="1" x14ac:dyDescent="0.3">
      <c r="B5" s="145" t="s">
        <v>0</v>
      </c>
      <c r="C5" s="123" t="s">
        <v>52</v>
      </c>
      <c r="D5" s="124"/>
      <c r="E5" s="124"/>
      <c r="F5" s="125"/>
      <c r="G5" s="61"/>
      <c r="H5" s="145" t="s">
        <v>50</v>
      </c>
      <c r="I5" s="147" t="s">
        <v>53</v>
      </c>
      <c r="J5" s="147"/>
      <c r="K5" s="148"/>
      <c r="L5" s="62"/>
      <c r="M5" s="145" t="s">
        <v>34</v>
      </c>
      <c r="N5" s="123" t="s">
        <v>96</v>
      </c>
      <c r="O5" s="124"/>
      <c r="P5" s="125"/>
    </row>
    <row r="6" spans="1:18" ht="30" customHeight="1" thickBot="1" x14ac:dyDescent="0.35">
      <c r="B6" s="146"/>
      <c r="C6" s="126"/>
      <c r="D6" s="127"/>
      <c r="E6" s="127"/>
      <c r="F6" s="128"/>
      <c r="G6" s="63"/>
      <c r="H6" s="146"/>
      <c r="I6" s="127"/>
      <c r="J6" s="127"/>
      <c r="K6" s="128"/>
      <c r="L6" s="62"/>
      <c r="M6" s="146"/>
      <c r="N6" s="126"/>
      <c r="O6" s="127"/>
      <c r="P6" s="128"/>
    </row>
    <row r="7" spans="1:18" s="6" customFormat="1" ht="16.2" customHeight="1" thickTop="1" thickBot="1" x14ac:dyDescent="0.35">
      <c r="B7" s="15"/>
      <c r="C7" s="15"/>
      <c r="D7" s="10"/>
      <c r="E7" s="10"/>
      <c r="F7" s="10"/>
      <c r="G7" s="10"/>
      <c r="H7" s="10"/>
      <c r="J7" s="15"/>
      <c r="K7" s="15"/>
      <c r="L7" s="10"/>
      <c r="M7" s="10"/>
      <c r="N7" s="10"/>
      <c r="O7" s="10"/>
      <c r="P7" s="10"/>
    </row>
    <row r="8" spans="1:18" ht="30" customHeight="1" thickTop="1" x14ac:dyDescent="0.3">
      <c r="B8" s="119" t="s">
        <v>48</v>
      </c>
      <c r="C8" s="120"/>
      <c r="D8" s="123" t="s">
        <v>98</v>
      </c>
      <c r="E8" s="124"/>
      <c r="F8" s="125"/>
      <c r="G8" s="5"/>
      <c r="H8" s="129" t="s">
        <v>51</v>
      </c>
      <c r="I8" s="130"/>
      <c r="J8" s="133">
        <v>7170872960</v>
      </c>
      <c r="K8" s="134"/>
      <c r="L8" s="64"/>
      <c r="M8" s="137" t="s">
        <v>49</v>
      </c>
      <c r="N8" s="120"/>
      <c r="O8" s="123" t="s">
        <v>97</v>
      </c>
      <c r="P8" s="125"/>
    </row>
    <row r="9" spans="1:18" ht="30" customHeight="1" thickBot="1" x14ac:dyDescent="0.35">
      <c r="B9" s="121"/>
      <c r="C9" s="122"/>
      <c r="D9" s="126"/>
      <c r="E9" s="127"/>
      <c r="F9" s="128"/>
      <c r="G9" s="5"/>
      <c r="H9" s="131"/>
      <c r="I9" s="132"/>
      <c r="J9" s="135"/>
      <c r="K9" s="136"/>
      <c r="L9" s="64"/>
      <c r="M9" s="138"/>
      <c r="N9" s="122"/>
      <c r="O9" s="126"/>
      <c r="P9" s="128"/>
    </row>
    <row r="10" spans="1:18" s="6" customFormat="1" ht="24" customHeight="1" thickTop="1" thickBot="1" x14ac:dyDescent="0.35">
      <c r="B10" s="11"/>
      <c r="C10" s="11"/>
      <c r="D10" s="101" t="s">
        <v>107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59"/>
      <c r="P10" s="59"/>
      <c r="Q10" s="59"/>
      <c r="R10" s="59"/>
    </row>
    <row r="11" spans="1:18" ht="82.2" customHeight="1" thickTop="1" thickBot="1" x14ac:dyDescent="0.35">
      <c r="A11" s="2"/>
      <c r="B11" s="113" t="s">
        <v>37</v>
      </c>
      <c r="C11" s="115" t="s">
        <v>47</v>
      </c>
      <c r="D11" s="110"/>
      <c r="E11" s="109" t="s">
        <v>38</v>
      </c>
      <c r="F11" s="110"/>
      <c r="G11" s="115" t="s">
        <v>39</v>
      </c>
      <c r="H11" s="115"/>
      <c r="I11" s="109" t="s">
        <v>35</v>
      </c>
      <c r="J11" s="115"/>
      <c r="K11" s="109" t="s">
        <v>45</v>
      </c>
      <c r="L11" s="115"/>
      <c r="M11" s="109" t="s">
        <v>46</v>
      </c>
      <c r="N11" s="110"/>
      <c r="O11" s="111" t="s">
        <v>42</v>
      </c>
      <c r="P11" s="112"/>
      <c r="Q11" s="65"/>
      <c r="R11" s="66"/>
    </row>
    <row r="12" spans="1:18" ht="19.8" customHeight="1" thickTop="1" thickBot="1" x14ac:dyDescent="0.35">
      <c r="B12" s="114"/>
      <c r="C12" s="116"/>
      <c r="D12" s="117"/>
      <c r="E12" s="118"/>
      <c r="F12" s="117"/>
      <c r="G12" s="72" t="s">
        <v>40</v>
      </c>
      <c r="H12" s="73" t="s">
        <v>5</v>
      </c>
      <c r="I12" s="74" t="s">
        <v>40</v>
      </c>
      <c r="J12" s="75" t="s">
        <v>6</v>
      </c>
      <c r="K12" s="72" t="s">
        <v>40</v>
      </c>
      <c r="L12" s="75" t="s">
        <v>41</v>
      </c>
      <c r="M12" s="72" t="s">
        <v>40</v>
      </c>
      <c r="N12" s="75" t="s">
        <v>41</v>
      </c>
      <c r="O12" s="76" t="s">
        <v>43</v>
      </c>
      <c r="P12" s="77" t="s">
        <v>44</v>
      </c>
      <c r="R12" s="67"/>
    </row>
    <row r="13" spans="1:18" ht="25.05" customHeight="1" thickTop="1" x14ac:dyDescent="0.3">
      <c r="A13" s="3"/>
      <c r="B13" s="31">
        <v>1</v>
      </c>
      <c r="C13" s="104" t="s">
        <v>91</v>
      </c>
      <c r="D13" s="105"/>
      <c r="E13" s="107" t="s">
        <v>25</v>
      </c>
      <c r="F13" s="108"/>
      <c r="G13" s="107">
        <v>28</v>
      </c>
      <c r="H13" s="108"/>
      <c r="I13" s="106">
        <v>4.7690000000000001</v>
      </c>
      <c r="J13" s="105"/>
      <c r="K13" s="107">
        <v>449</v>
      </c>
      <c r="L13" s="108"/>
      <c r="M13" s="107">
        <v>625</v>
      </c>
      <c r="N13" s="108"/>
      <c r="O13" s="68">
        <v>25</v>
      </c>
      <c r="P13" s="69">
        <v>18.899999999999999</v>
      </c>
      <c r="Q13" s="70"/>
      <c r="R13" s="70"/>
    </row>
    <row r="14" spans="1:18" ht="25.05" customHeight="1" x14ac:dyDescent="0.3">
      <c r="A14" s="3"/>
      <c r="B14" s="42">
        <v>2</v>
      </c>
      <c r="C14" s="104" t="s">
        <v>92</v>
      </c>
      <c r="D14" s="105"/>
      <c r="E14" s="106" t="s">
        <v>25</v>
      </c>
      <c r="F14" s="105"/>
      <c r="G14" s="106">
        <v>28</v>
      </c>
      <c r="H14" s="105"/>
      <c r="I14" s="106">
        <v>4.7519999999999998</v>
      </c>
      <c r="J14" s="105"/>
      <c r="K14" s="107">
        <v>448</v>
      </c>
      <c r="L14" s="108"/>
      <c r="M14" s="107">
        <v>624</v>
      </c>
      <c r="N14" s="108"/>
      <c r="O14" s="68">
        <v>26.4</v>
      </c>
      <c r="P14" s="69">
        <v>20</v>
      </c>
      <c r="Q14" s="70"/>
      <c r="R14" s="70"/>
    </row>
    <row r="15" spans="1:18" ht="25.05" customHeight="1" x14ac:dyDescent="0.3">
      <c r="A15" s="3"/>
      <c r="B15" s="42">
        <v>3</v>
      </c>
      <c r="C15" s="104" t="s">
        <v>93</v>
      </c>
      <c r="D15" s="105"/>
      <c r="E15" s="106" t="s">
        <v>25</v>
      </c>
      <c r="F15" s="105"/>
      <c r="G15" s="106">
        <v>28</v>
      </c>
      <c r="H15" s="105"/>
      <c r="I15" s="106">
        <v>4.827</v>
      </c>
      <c r="J15" s="105"/>
      <c r="K15" s="107">
        <v>445</v>
      </c>
      <c r="L15" s="108"/>
      <c r="M15" s="107">
        <v>625</v>
      </c>
      <c r="N15" s="108"/>
      <c r="O15" s="68">
        <v>21.4</v>
      </c>
      <c r="P15" s="69">
        <v>17.899999999999999</v>
      </c>
      <c r="Q15" s="70"/>
      <c r="R15" s="70"/>
    </row>
    <row r="16" spans="1:18" ht="25.05" customHeight="1" x14ac:dyDescent="0.3">
      <c r="A16" s="3"/>
      <c r="B16" s="42">
        <v>4</v>
      </c>
      <c r="C16" s="104" t="s">
        <v>94</v>
      </c>
      <c r="D16" s="105"/>
      <c r="E16" s="106" t="s">
        <v>25</v>
      </c>
      <c r="F16" s="105"/>
      <c r="G16" s="106">
        <v>28</v>
      </c>
      <c r="H16" s="105"/>
      <c r="I16" s="106">
        <v>4.7960000000000003</v>
      </c>
      <c r="J16" s="105"/>
      <c r="K16" s="107">
        <v>434</v>
      </c>
      <c r="L16" s="108"/>
      <c r="M16" s="107">
        <v>611</v>
      </c>
      <c r="N16" s="108"/>
      <c r="O16" s="68">
        <v>22.1</v>
      </c>
      <c r="P16" s="69">
        <v>18.2</v>
      </c>
      <c r="Q16" s="70"/>
      <c r="R16" s="70"/>
    </row>
    <row r="17" spans="1:18" ht="25.05" customHeight="1" x14ac:dyDescent="0.3">
      <c r="A17" s="3"/>
      <c r="B17" s="78">
        <v>5</v>
      </c>
      <c r="C17" s="104" t="s">
        <v>95</v>
      </c>
      <c r="D17" s="105"/>
      <c r="E17" s="106" t="s">
        <v>25</v>
      </c>
      <c r="F17" s="105"/>
      <c r="G17" s="106">
        <v>28</v>
      </c>
      <c r="H17" s="105"/>
      <c r="I17" s="106">
        <v>4.8230000000000004</v>
      </c>
      <c r="J17" s="105"/>
      <c r="K17" s="107">
        <v>457</v>
      </c>
      <c r="L17" s="108"/>
      <c r="M17" s="107">
        <v>633</v>
      </c>
      <c r="N17" s="108"/>
      <c r="O17" s="68">
        <v>25</v>
      </c>
      <c r="P17" s="69">
        <v>17.899999999999999</v>
      </c>
      <c r="Q17" s="70"/>
      <c r="R17" s="70"/>
    </row>
    <row r="18" spans="1:18" ht="25.05" customHeight="1" x14ac:dyDescent="0.3">
      <c r="A18" s="3"/>
      <c r="B18" s="78">
        <v>6</v>
      </c>
      <c r="C18" s="104"/>
      <c r="D18" s="105"/>
      <c r="E18" s="106"/>
      <c r="F18" s="105"/>
      <c r="G18" s="106"/>
      <c r="H18" s="105"/>
      <c r="I18" s="106"/>
      <c r="J18" s="105"/>
      <c r="K18" s="106"/>
      <c r="L18" s="105"/>
      <c r="M18" s="106"/>
      <c r="N18" s="105"/>
      <c r="O18" s="68"/>
      <c r="P18" s="69"/>
      <c r="Q18" s="70"/>
      <c r="R18" s="70"/>
    </row>
    <row r="19" spans="1:18" ht="25.05" customHeight="1" x14ac:dyDescent="0.3">
      <c r="A19" s="3"/>
      <c r="B19" s="78">
        <v>7</v>
      </c>
      <c r="C19" s="104"/>
      <c r="D19" s="105"/>
      <c r="E19" s="106"/>
      <c r="F19" s="105"/>
      <c r="G19" s="106"/>
      <c r="H19" s="105"/>
      <c r="I19" s="106"/>
      <c r="J19" s="105"/>
      <c r="K19" s="106"/>
      <c r="L19" s="105"/>
      <c r="M19" s="106"/>
      <c r="N19" s="105"/>
      <c r="O19" s="68"/>
      <c r="P19" s="69"/>
      <c r="Q19" s="70"/>
      <c r="R19" s="70"/>
    </row>
    <row r="20" spans="1:18" ht="25.05" customHeight="1" x14ac:dyDescent="0.3">
      <c r="A20" s="3"/>
      <c r="B20" s="78">
        <v>8</v>
      </c>
      <c r="C20" s="104"/>
      <c r="D20" s="105"/>
      <c r="E20" s="106"/>
      <c r="F20" s="105"/>
      <c r="G20" s="106"/>
      <c r="H20" s="105"/>
      <c r="I20" s="106"/>
      <c r="J20" s="105"/>
      <c r="K20" s="106"/>
      <c r="L20" s="105"/>
      <c r="M20" s="106"/>
      <c r="N20" s="105"/>
      <c r="O20" s="68"/>
      <c r="P20" s="69"/>
      <c r="Q20" s="70"/>
      <c r="R20" s="70"/>
    </row>
    <row r="21" spans="1:18" ht="25.05" customHeight="1" x14ac:dyDescent="0.3">
      <c r="A21" s="3"/>
      <c r="B21" s="78">
        <v>9</v>
      </c>
      <c r="C21" s="104"/>
      <c r="D21" s="105"/>
      <c r="E21" s="106"/>
      <c r="F21" s="105"/>
      <c r="G21" s="106"/>
      <c r="H21" s="105"/>
      <c r="I21" s="106"/>
      <c r="J21" s="105"/>
      <c r="K21" s="106"/>
      <c r="L21" s="105"/>
      <c r="M21" s="106"/>
      <c r="N21" s="105"/>
      <c r="O21" s="68"/>
      <c r="P21" s="69"/>
      <c r="Q21" s="70"/>
      <c r="R21" s="70"/>
    </row>
    <row r="22" spans="1:18" ht="25.05" customHeight="1" thickBot="1" x14ac:dyDescent="0.35">
      <c r="A22" s="3"/>
      <c r="B22" s="79">
        <v>10</v>
      </c>
      <c r="C22" s="102"/>
      <c r="D22" s="103"/>
      <c r="E22" s="102"/>
      <c r="F22" s="103"/>
      <c r="G22" s="102"/>
      <c r="H22" s="103"/>
      <c r="I22" s="102"/>
      <c r="J22" s="103"/>
      <c r="K22" s="102"/>
      <c r="L22" s="103"/>
      <c r="M22" s="102"/>
      <c r="N22" s="103"/>
      <c r="O22" s="4"/>
      <c r="P22" s="71"/>
      <c r="Q22" s="70"/>
      <c r="R22" s="70"/>
    </row>
    <row r="23" spans="1:18" s="6" customFormat="1" ht="12.6" customHeight="1" thickTop="1" x14ac:dyDescent="0.3"/>
  </sheetData>
  <sheetProtection algorithmName="SHA-512" hashValue="Hm6m1yk5leeDAEbIOwheho5e4dzRbrmFm20NnumodHQyYYHpCRpa+viGWQ0ILPUVKmjYx4ij3bwnIRwjdK5GWg==" saltValue="I7wgKAdO0t22nodPWgngxA==" spinCount="100000" sheet="1" objects="1" scenarios="1" selectLockedCells="1"/>
  <mergeCells count="82">
    <mergeCell ref="O8:P9"/>
    <mergeCell ref="B2:P3"/>
    <mergeCell ref="B5:B6"/>
    <mergeCell ref="C5:F6"/>
    <mergeCell ref="H5:H6"/>
    <mergeCell ref="I5:K6"/>
    <mergeCell ref="M5:M6"/>
    <mergeCell ref="N5:P6"/>
    <mergeCell ref="B8:C9"/>
    <mergeCell ref="D8:F9"/>
    <mergeCell ref="H8:I9"/>
    <mergeCell ref="J8:K9"/>
    <mergeCell ref="M8:N9"/>
    <mergeCell ref="B11:B12"/>
    <mergeCell ref="C11:D12"/>
    <mergeCell ref="E11:F12"/>
    <mergeCell ref="G11:H11"/>
    <mergeCell ref="I11:J11"/>
    <mergeCell ref="M14:N14"/>
    <mergeCell ref="M11:N11"/>
    <mergeCell ref="O11:P11"/>
    <mergeCell ref="C13:D13"/>
    <mergeCell ref="E13:F13"/>
    <mergeCell ref="G13:H13"/>
    <mergeCell ref="I13:J13"/>
    <mergeCell ref="K13:L13"/>
    <mergeCell ref="M13:N13"/>
    <mergeCell ref="K11:L11"/>
    <mergeCell ref="C14:D14"/>
    <mergeCell ref="E14:F14"/>
    <mergeCell ref="G14:H14"/>
    <mergeCell ref="I14:J14"/>
    <mergeCell ref="K14:L14"/>
    <mergeCell ref="M16:N16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8:N18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D10:N10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</mergeCells>
  <printOptions horizontalCentered="1" verticalCentered="1"/>
  <pageMargins left="0" right="0" top="0" bottom="0" header="0" footer="0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DataBase!$A$5:$A$7</xm:f>
          </x14:formula1>
          <xm:sqref>E13:F22</xm:sqref>
        </x14:dataValidation>
        <x14:dataValidation type="list" allowBlank="1" showInputMessage="1" showErrorMessage="1">
          <x14:formula1>
            <xm:f>DataBase!$A$12:$A$26</xm:f>
          </x14:formula1>
          <xm:sqref>G13:H22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rightToLeft="1" view="pageBreakPreview" topLeftCell="A6" zoomScale="85" zoomScaleNormal="100" zoomScaleSheetLayoutView="85" workbookViewId="0">
      <selection activeCell="N29" sqref="N29:S31"/>
    </sheetView>
  </sheetViews>
  <sheetFormatPr defaultRowHeight="14.4" x14ac:dyDescent="0.3"/>
  <cols>
    <col min="1" max="1" width="1" style="6" customWidth="1"/>
    <col min="2" max="2" width="3.44140625" style="6" customWidth="1"/>
    <col min="3" max="3" width="5" style="6" customWidth="1"/>
    <col min="4" max="4" width="2.88671875" style="6" customWidth="1"/>
    <col min="5" max="5" width="5.6640625" style="6" customWidth="1"/>
    <col min="6" max="6" width="5.109375" style="6" customWidth="1"/>
    <col min="7" max="7" width="6.33203125" style="6" customWidth="1"/>
    <col min="8" max="8" width="4.33203125" style="6" customWidth="1"/>
    <col min="9" max="9" width="7.33203125" style="6" customWidth="1"/>
    <col min="10" max="10" width="6.33203125" style="6" customWidth="1"/>
    <col min="11" max="11" width="7.33203125" style="6" customWidth="1"/>
    <col min="12" max="12" width="5.77734375" style="6" customWidth="1"/>
    <col min="13" max="13" width="7.33203125" style="6" customWidth="1"/>
    <col min="14" max="14" width="6" style="6" customWidth="1"/>
    <col min="15" max="15" width="7.33203125" style="6" customWidth="1"/>
    <col min="16" max="16" width="6.21875" style="6" customWidth="1"/>
    <col min="17" max="17" width="7.33203125" style="6" customWidth="1"/>
    <col min="18" max="18" width="6.21875" style="6" customWidth="1"/>
    <col min="19" max="19" width="7.33203125" style="6" customWidth="1"/>
    <col min="20" max="20" width="6.88671875" style="6" customWidth="1"/>
    <col min="21" max="21" width="7.33203125" style="6" customWidth="1"/>
    <col min="22" max="22" width="7.21875" style="6" customWidth="1"/>
    <col min="23" max="23" width="10.88671875" style="6" customWidth="1"/>
    <col min="24" max="24" width="8.109375" style="6" customWidth="1"/>
    <col min="25" max="25" width="1.21875" style="6" customWidth="1"/>
    <col min="26" max="26" width="8.88671875" style="7"/>
    <col min="27" max="16384" width="8.88671875" style="6"/>
  </cols>
  <sheetData>
    <row r="1" spans="1:26" ht="3.6" customHeight="1" thickBot="1" x14ac:dyDescent="0.35"/>
    <row r="2" spans="1:26" ht="19.8" customHeight="1" thickTop="1" x14ac:dyDescent="0.3">
      <c r="A2" s="8"/>
      <c r="B2" s="299" t="s">
        <v>54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1"/>
    </row>
    <row r="3" spans="1:26" ht="10.8" customHeight="1" thickBot="1" x14ac:dyDescent="0.35">
      <c r="A3" s="8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4"/>
    </row>
    <row r="4" spans="1:26" ht="3.6" customHeight="1" thickTop="1" thickBot="1" x14ac:dyDescent="0.35">
      <c r="E4" s="9"/>
      <c r="F4" s="9"/>
      <c r="G4" s="9"/>
      <c r="H4" s="9"/>
      <c r="I4" s="9"/>
      <c r="J4" s="9"/>
      <c r="K4" s="10"/>
      <c r="L4" s="10"/>
      <c r="N4" s="9"/>
      <c r="O4" s="9"/>
      <c r="P4" s="9"/>
      <c r="Q4" s="9"/>
      <c r="R4" s="9"/>
      <c r="T4" s="11"/>
      <c r="U4" s="11"/>
      <c r="V4" s="11"/>
      <c r="W4" s="9"/>
      <c r="X4" s="9"/>
    </row>
    <row r="5" spans="1:26" ht="21.6" customHeight="1" thickTop="1" x14ac:dyDescent="0.3">
      <c r="B5" s="129" t="s">
        <v>0</v>
      </c>
      <c r="C5" s="149"/>
      <c r="D5" s="130"/>
      <c r="E5" s="203" t="str">
        <f>'ورود اطلاعات آزمایشگاهی'!C5</f>
        <v>پروژه خیّری اربابی</v>
      </c>
      <c r="F5" s="204"/>
      <c r="G5" s="204"/>
      <c r="H5" s="204"/>
      <c r="I5" s="204"/>
      <c r="J5" s="205"/>
      <c r="K5" s="12"/>
      <c r="L5" s="129" t="s">
        <v>50</v>
      </c>
      <c r="M5" s="130"/>
      <c r="N5" s="203" t="str">
        <f>'ورود اطلاعات آزمایشگاهی'!I5</f>
        <v>اداره کل نوسازی مدارس استان قم</v>
      </c>
      <c r="O5" s="204"/>
      <c r="P5" s="204"/>
      <c r="Q5" s="204"/>
      <c r="R5" s="205"/>
      <c r="S5" s="13"/>
      <c r="T5" s="129" t="s">
        <v>34</v>
      </c>
      <c r="U5" s="130"/>
      <c r="V5" s="204" t="str">
        <f>'ورود اطلاعات آزمایشگاهی'!N5</f>
        <v>-</v>
      </c>
      <c r="W5" s="204"/>
      <c r="X5" s="205"/>
    </row>
    <row r="6" spans="1:26" ht="19.8" customHeight="1" thickBot="1" x14ac:dyDescent="0.35">
      <c r="B6" s="131"/>
      <c r="C6" s="150"/>
      <c r="D6" s="132"/>
      <c r="E6" s="206"/>
      <c r="F6" s="153"/>
      <c r="G6" s="153"/>
      <c r="H6" s="153"/>
      <c r="I6" s="153"/>
      <c r="J6" s="154"/>
      <c r="K6" s="14"/>
      <c r="L6" s="131"/>
      <c r="M6" s="132"/>
      <c r="N6" s="203"/>
      <c r="O6" s="204"/>
      <c r="P6" s="204"/>
      <c r="Q6" s="204"/>
      <c r="R6" s="205"/>
      <c r="S6" s="13"/>
      <c r="T6" s="131"/>
      <c r="U6" s="132"/>
      <c r="V6" s="153"/>
      <c r="W6" s="153"/>
      <c r="X6" s="154"/>
    </row>
    <row r="7" spans="1:26" ht="4.2" customHeight="1" thickTop="1" thickBot="1" x14ac:dyDescent="0.35">
      <c r="B7" s="15"/>
      <c r="C7" s="15"/>
      <c r="D7" s="10"/>
      <c r="E7" s="11"/>
      <c r="F7" s="11"/>
      <c r="G7" s="11"/>
      <c r="H7" s="11"/>
      <c r="I7" s="11"/>
      <c r="J7" s="11"/>
      <c r="K7" s="10"/>
      <c r="L7" s="10"/>
      <c r="N7" s="16"/>
      <c r="O7" s="16"/>
      <c r="P7" s="16"/>
      <c r="Q7" s="16"/>
      <c r="R7" s="16"/>
      <c r="S7" s="10"/>
      <c r="T7" s="10"/>
      <c r="U7" s="10"/>
      <c r="V7" s="11"/>
      <c r="W7" s="11"/>
      <c r="X7" s="11"/>
    </row>
    <row r="8" spans="1:26" ht="21" customHeight="1" thickTop="1" x14ac:dyDescent="0.3">
      <c r="B8" s="129" t="s">
        <v>1</v>
      </c>
      <c r="C8" s="149"/>
      <c r="D8" s="149"/>
      <c r="E8" s="130"/>
      <c r="F8" s="151" t="str">
        <f>'ورود اطلاعات آزمایشگاهی'!D8</f>
        <v>شرکت فولاد کاوه اروند</v>
      </c>
      <c r="G8" s="151"/>
      <c r="H8" s="151"/>
      <c r="I8" s="151"/>
      <c r="J8" s="152"/>
      <c r="K8" s="10"/>
      <c r="L8" s="189" t="s">
        <v>83</v>
      </c>
      <c r="M8" s="190"/>
      <c r="N8" s="207">
        <f>'ورود اطلاعات آزمایشگاهی'!J8</f>
        <v>7170872960</v>
      </c>
      <c r="O8" s="208"/>
      <c r="P8" s="208"/>
      <c r="Q8" s="208"/>
      <c r="R8" s="209"/>
      <c r="S8" s="17"/>
      <c r="T8" s="185" t="s">
        <v>4</v>
      </c>
      <c r="U8" s="186"/>
      <c r="V8" s="281" t="str">
        <f>'ورود اطلاعات آزمایشگاهی'!O8</f>
        <v>97/05/22</v>
      </c>
      <c r="W8" s="151"/>
      <c r="X8" s="152"/>
      <c r="Y8" s="18"/>
    </row>
    <row r="9" spans="1:26" ht="20.399999999999999" customHeight="1" thickBot="1" x14ac:dyDescent="0.35">
      <c r="B9" s="131" t="s">
        <v>81</v>
      </c>
      <c r="C9" s="150"/>
      <c r="D9" s="150"/>
      <c r="E9" s="132"/>
      <c r="F9" s="153"/>
      <c r="G9" s="153"/>
      <c r="H9" s="153"/>
      <c r="I9" s="153"/>
      <c r="J9" s="154"/>
      <c r="K9" s="10"/>
      <c r="L9" s="191" t="s">
        <v>84</v>
      </c>
      <c r="M9" s="192"/>
      <c r="N9" s="210"/>
      <c r="O9" s="211"/>
      <c r="P9" s="211"/>
      <c r="Q9" s="211"/>
      <c r="R9" s="212"/>
      <c r="S9" s="17"/>
      <c r="T9" s="187" t="s">
        <v>82</v>
      </c>
      <c r="U9" s="188"/>
      <c r="V9" s="206"/>
      <c r="W9" s="153"/>
      <c r="X9" s="154"/>
      <c r="Y9" s="18"/>
    </row>
    <row r="10" spans="1:26" ht="8.4" customHeight="1" thickTop="1" thickBot="1" x14ac:dyDescent="0.3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6" ht="22.2" customHeight="1" thickTop="1" x14ac:dyDescent="0.3">
      <c r="A11" s="10"/>
      <c r="B11" s="290" t="s">
        <v>37</v>
      </c>
      <c r="C11" s="293" t="s">
        <v>47</v>
      </c>
      <c r="D11" s="294"/>
      <c r="E11" s="231" t="s">
        <v>65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Q11" s="232" t="s">
        <v>67</v>
      </c>
      <c r="R11" s="232"/>
      <c r="S11" s="232"/>
      <c r="T11" s="233"/>
      <c r="U11" s="231" t="s">
        <v>66</v>
      </c>
      <c r="V11" s="232"/>
      <c r="W11" s="232"/>
      <c r="X11" s="233"/>
      <c r="Y11" s="19"/>
      <c r="Z11" s="20"/>
    </row>
    <row r="12" spans="1:26" ht="16.8" customHeight="1" x14ac:dyDescent="0.3">
      <c r="A12" s="10"/>
      <c r="B12" s="291"/>
      <c r="C12" s="295"/>
      <c r="D12" s="296"/>
      <c r="E12" s="277" t="s">
        <v>68</v>
      </c>
      <c r="F12" s="278"/>
      <c r="G12" s="246" t="s">
        <v>69</v>
      </c>
      <c r="H12" s="247"/>
      <c r="I12" s="260" t="s">
        <v>70</v>
      </c>
      <c r="J12" s="262"/>
      <c r="K12" s="260" t="s">
        <v>70</v>
      </c>
      <c r="L12" s="262"/>
      <c r="M12" s="260" t="s">
        <v>70</v>
      </c>
      <c r="N12" s="262"/>
      <c r="O12" s="260" t="s">
        <v>70</v>
      </c>
      <c r="P12" s="261"/>
      <c r="Q12" s="256" t="s">
        <v>71</v>
      </c>
      <c r="R12" s="257"/>
      <c r="S12" s="258" t="s">
        <v>71</v>
      </c>
      <c r="T12" s="259"/>
      <c r="U12" s="222" t="s">
        <v>76</v>
      </c>
      <c r="V12" s="223"/>
      <c r="W12" s="224"/>
      <c r="X12" s="225" t="s">
        <v>78</v>
      </c>
      <c r="Y12" s="21"/>
      <c r="Z12" s="20"/>
    </row>
    <row r="13" spans="1:26" ht="17.399999999999999" customHeight="1" x14ac:dyDescent="0.3">
      <c r="A13" s="10"/>
      <c r="B13" s="291"/>
      <c r="C13" s="295"/>
      <c r="D13" s="296"/>
      <c r="E13" s="279" t="s">
        <v>27</v>
      </c>
      <c r="F13" s="280"/>
      <c r="G13" s="248" t="s">
        <v>72</v>
      </c>
      <c r="H13" s="249"/>
      <c r="I13" s="222" t="s">
        <v>28</v>
      </c>
      <c r="J13" s="224"/>
      <c r="K13" s="271" t="s">
        <v>29</v>
      </c>
      <c r="L13" s="224"/>
      <c r="M13" s="271" t="s">
        <v>30</v>
      </c>
      <c r="N13" s="224"/>
      <c r="O13" s="271" t="s">
        <v>31</v>
      </c>
      <c r="P13" s="272"/>
      <c r="Q13" s="222" t="s">
        <v>32</v>
      </c>
      <c r="R13" s="224"/>
      <c r="S13" s="271" t="s">
        <v>32</v>
      </c>
      <c r="T13" s="272"/>
      <c r="U13" s="222" t="s">
        <v>75</v>
      </c>
      <c r="V13" s="223"/>
      <c r="W13" s="224"/>
      <c r="X13" s="225"/>
      <c r="Y13" s="21"/>
      <c r="Z13" s="20"/>
    </row>
    <row r="14" spans="1:26" ht="20.399999999999999" customHeight="1" x14ac:dyDescent="0.3">
      <c r="A14" s="10"/>
      <c r="B14" s="291"/>
      <c r="C14" s="295"/>
      <c r="D14" s="296"/>
      <c r="E14" s="250" t="s">
        <v>99</v>
      </c>
      <c r="F14" s="251"/>
      <c r="G14" s="236" t="s">
        <v>73</v>
      </c>
      <c r="H14" s="237"/>
      <c r="I14" s="252" t="s">
        <v>58</v>
      </c>
      <c r="J14" s="253"/>
      <c r="K14" s="252" t="s">
        <v>57</v>
      </c>
      <c r="L14" s="253"/>
      <c r="M14" s="252" t="s">
        <v>56</v>
      </c>
      <c r="N14" s="253"/>
      <c r="O14" s="263" t="s">
        <v>55</v>
      </c>
      <c r="P14" s="264"/>
      <c r="Q14" s="267" t="s">
        <v>63</v>
      </c>
      <c r="R14" s="253"/>
      <c r="S14" s="273" t="s">
        <v>64</v>
      </c>
      <c r="T14" s="274"/>
      <c r="U14" s="216" t="s">
        <v>77</v>
      </c>
      <c r="V14" s="217"/>
      <c r="W14" s="218"/>
      <c r="X14" s="225"/>
      <c r="Y14" s="21"/>
      <c r="Z14" s="20"/>
    </row>
    <row r="15" spans="1:26" ht="19.8" customHeight="1" x14ac:dyDescent="0.3">
      <c r="A15" s="10"/>
      <c r="B15" s="291"/>
      <c r="C15" s="295"/>
      <c r="D15" s="296"/>
      <c r="E15" s="240"/>
      <c r="F15" s="241"/>
      <c r="G15" s="238" t="s">
        <v>74</v>
      </c>
      <c r="H15" s="239"/>
      <c r="I15" s="254"/>
      <c r="J15" s="255"/>
      <c r="K15" s="254"/>
      <c r="L15" s="255"/>
      <c r="M15" s="254"/>
      <c r="N15" s="255"/>
      <c r="O15" s="265"/>
      <c r="P15" s="266"/>
      <c r="Q15" s="268"/>
      <c r="R15" s="255"/>
      <c r="S15" s="275"/>
      <c r="T15" s="276"/>
      <c r="U15" s="219"/>
      <c r="V15" s="220"/>
      <c r="W15" s="221"/>
      <c r="X15" s="225"/>
      <c r="Y15" s="21"/>
      <c r="Z15" s="20"/>
    </row>
    <row r="16" spans="1:26" ht="16.2" customHeight="1" thickBot="1" x14ac:dyDescent="0.35">
      <c r="B16" s="292"/>
      <c r="C16" s="297"/>
      <c r="D16" s="298"/>
      <c r="E16" s="240" t="s">
        <v>59</v>
      </c>
      <c r="F16" s="241"/>
      <c r="G16" s="269" t="s">
        <v>59</v>
      </c>
      <c r="H16" s="270"/>
      <c r="I16" s="22" t="s">
        <v>59</v>
      </c>
      <c r="J16" s="23" t="s">
        <v>60</v>
      </c>
      <c r="K16" s="24" t="s">
        <v>59</v>
      </c>
      <c r="L16" s="22" t="s">
        <v>60</v>
      </c>
      <c r="M16" s="22" t="s">
        <v>59</v>
      </c>
      <c r="N16" s="22" t="s">
        <v>60</v>
      </c>
      <c r="O16" s="24" t="s">
        <v>59</v>
      </c>
      <c r="P16" s="25" t="s">
        <v>60</v>
      </c>
      <c r="Q16" s="26" t="s">
        <v>59</v>
      </c>
      <c r="R16" s="24" t="s">
        <v>60</v>
      </c>
      <c r="S16" s="26" t="s">
        <v>59</v>
      </c>
      <c r="T16" s="27" t="s">
        <v>60</v>
      </c>
      <c r="U16" s="28" t="s">
        <v>59</v>
      </c>
      <c r="V16" s="234" t="s">
        <v>60</v>
      </c>
      <c r="W16" s="235"/>
      <c r="X16" s="226"/>
      <c r="Z16" s="29"/>
    </row>
    <row r="17" spans="1:26" ht="28.05" customHeight="1" thickTop="1" x14ac:dyDescent="0.3">
      <c r="A17" s="30"/>
      <c r="B17" s="31">
        <v>1</v>
      </c>
      <c r="C17" s="284" t="str">
        <f>'ورود اطلاعات آزمایشگاهی'!C13</f>
        <v>39791-1</v>
      </c>
      <c r="D17" s="285"/>
      <c r="E17" s="242" t="str">
        <f>IF('ورود اطلاعات آزمایشگاهی'!K13&lt;VLOOKUP('ورود اطلاعات آزمایشگاهی'!E13,Table2[#All],2,FALSE),"Not Ok","OK")</f>
        <v>OK</v>
      </c>
      <c r="F17" s="243"/>
      <c r="G17" s="286" t="str">
        <f>IF(AND(E17="OK",E18="OK",E19="OK",E20="OK",E21="OK"),"نیازی به کنترل این بند نمی‌باشد",IF(AVERAGE('ورود اطلاعات آزمایشگاهی'!K13:K22)&gt;=(VLOOKUP('ورود اطلاعات آزمایشگاهی'!E13,Table2[#All],2,FALSE)+0.6*_xlfn.STDEV.S('ورود اطلاعات آزمایشگاهی'!K13:K22)),"OK","Not Ok"))</f>
        <v>نیازی به کنترل این بند نمی‌باشد</v>
      </c>
      <c r="H17" s="287"/>
      <c r="I17" s="32" t="str">
        <f>IF(VLOOKUP('ورود اطلاعات آزمایشگاهی'!E13,Table2[#All],3,FALSE)/'ورود اطلاعات آزمایشگاهی'!K13&lt;1.18,"Not Ok","OK")</f>
        <v>OK</v>
      </c>
      <c r="J17" s="33">
        <f>VLOOKUP('ورود اطلاعات آزمایشگاهی'!E13,Table2[#All],3,FALSE)/'ورود اطلاعات آزمایشگاهی'!K13</f>
        <v>1.3363028953229399</v>
      </c>
      <c r="K17" s="34" t="str">
        <f>IF('ورود اطلاعات آزمایشگاهی'!M13/VLOOKUP('ورود اطلاعات آزمایشگاهی'!E13,Table2[#All],2,FALSE)&lt;1.25,"Not Ok","OK")</f>
        <v>OK</v>
      </c>
      <c r="L17" s="33">
        <f>'ورود اطلاعات آزمایشگاهی'!M13/VLOOKUP('ورود اطلاعات آزمایشگاهی'!E13,Table2[#All],2,FALSE)</f>
        <v>1.5625</v>
      </c>
      <c r="M17" s="32" t="str">
        <f>IF(ABS('ورود اطلاعات آزمایشگاهی'!K13-VLOOKUP('ورود اطلاعات آزمایشگاهی'!E13,Table2[#All],2,FALSE))&gt;125,"Not Ok","OK")</f>
        <v>OK</v>
      </c>
      <c r="N17" s="35">
        <f>('ورود اطلاعات آزمایشگاهی'!K13-VLOOKUP('ورود اطلاعات آزمایشگاهی'!E13,Table2[#All],2,FALSE))</f>
        <v>49</v>
      </c>
      <c r="O17" s="34" t="str">
        <f>IF('ورود اطلاعات آزمایشگاهی'!M13/'ورود اطلاعات آزمایشگاهی'!K13&lt;1.25,"Not Ok","OK")</f>
        <v>OK</v>
      </c>
      <c r="P17" s="36">
        <f>'ورود اطلاعات آزمایشگاهی'!M13/'ورود اطلاعات آزمایشگاهی'!K13</f>
        <v>1.3919821826280623</v>
      </c>
      <c r="Q17" s="37" t="str">
        <f>IF(('ورود اطلاعات آزمایشگاهی'!O13&lt;(VLOOKUP('ورود اطلاعات آزمایشگاهی'!E13,Table2[#All],4,FALSE))),"Not Ok","OK")</f>
        <v>OK</v>
      </c>
      <c r="R17" s="38">
        <f>('ورود اطلاعات آزمایشگاهی'!O13/(VLOOKUP('ورود اطلاعات آزمایشگاهی'!E13,Table2[#All],4,FALSE)))</f>
        <v>1.5625</v>
      </c>
      <c r="S17" s="39" t="str">
        <f>IF(('ورود اطلاعات آزمایشگاهی'!P13&lt;(VLOOKUP('ورود اطلاعات آزمایشگاهی'!E13,Table2[#All],5,FALSE))),"Not Ok","OK")</f>
        <v>OK</v>
      </c>
      <c r="T17" s="40">
        <f>('ورود اطلاعات آزمایشگاهی'!P13/(VLOOKUP('ورود اطلاعات آزمایشگاهی'!E13,Table2[#All],5,FALSE)))</f>
        <v>1.575</v>
      </c>
      <c r="U17" s="41" t="str">
        <f>IF(AND(VLOOKUP('ورود اطلاعات آزمایشگاهی'!G13,Table1[#All],7,FALSE)&lt;='ورود اطلاعات آزمایشگاهی'!I13,'ورود اطلاعات آزمایشگاهی'!I13&lt;=(VLOOKUP('ورود اطلاعات آزمایشگاهی'!G13,Table1[#All],6,FALSE))),"OK","Not Ok")</f>
        <v>OK</v>
      </c>
      <c r="V17" s="227" t="str">
        <f>IF(U17="OK","وزن‌ و متعاقباً قطر میلگرد در حد رواداری مجاز می‌باشد",IF(VLOOKUP('ورود اطلاعات آزمایشگاهی'!G13,Table1[#All],7,FALSE)&lt;='ورود اطلاعات آزمایشگاهی'!I13,"وزن و متعاقباً قطر میلگرد بیشتر از حد مجاز است",IF('ورود اطلاعات آزمایشگاهی'!I13&lt;=(VLOOKUP('ورود اطلاعات آزمایشگاهی'!G13,Table1[#All],6,FALSE)),"وزن و متعاقباً قطر میلگرد کمتر از حد مجاز است","")))</f>
        <v>وزن‌ و متعاقباً قطر میلگرد در حد رواداری مجاز می‌باشد</v>
      </c>
      <c r="W17" s="228"/>
      <c r="X17" s="40">
        <f>2*('ورود اطلاعات آزمایشگاهی'!I13*1000/(0.00785*PI()*1000))^0.5</f>
        <v>27.812107038871666</v>
      </c>
    </row>
    <row r="18" spans="1:26" ht="28.05" customHeight="1" x14ac:dyDescent="0.3">
      <c r="A18" s="30"/>
      <c r="B18" s="42">
        <v>2</v>
      </c>
      <c r="C18" s="284" t="str">
        <f>'ورود اطلاعات آزمایشگاهی'!C14</f>
        <v>39791-2</v>
      </c>
      <c r="D18" s="285"/>
      <c r="E18" s="242" t="str">
        <f>IF('ورود اطلاعات آزمایشگاهی'!K14&lt;VLOOKUP('ورود اطلاعات آزمایشگاهی'!E14,Table2[#All],2,FALSE),"Not Ok","OK")</f>
        <v>OK</v>
      </c>
      <c r="F18" s="243"/>
      <c r="G18" s="286"/>
      <c r="H18" s="287"/>
      <c r="I18" s="32" t="str">
        <f>IF(VLOOKUP('ورود اطلاعات آزمایشگاهی'!E14,Table2[#All],3,FALSE)/'ورود اطلاعات آزمایشگاهی'!K14&lt;1.18,"Not Ok","OK")</f>
        <v>OK</v>
      </c>
      <c r="J18" s="33">
        <f>VLOOKUP('ورود اطلاعات آزمایشگاهی'!E14,Table2[#All],3,FALSE)/'ورود اطلاعات آزمایشگاهی'!K14</f>
        <v>1.3392857142857142</v>
      </c>
      <c r="K18" s="34" t="str">
        <f>IF('ورود اطلاعات آزمایشگاهی'!M14/VLOOKUP('ورود اطلاعات آزمایشگاهی'!E14,Table2[#All],2,FALSE)&lt;1.25,"Not Ok","OK")</f>
        <v>OK</v>
      </c>
      <c r="L18" s="33">
        <f>'ورود اطلاعات آزمایشگاهی'!M14/VLOOKUP('ورود اطلاعات آزمایشگاهی'!E14,Table2[#All],2,FALSE)</f>
        <v>1.56</v>
      </c>
      <c r="M18" s="32" t="str">
        <f>IF(ABS('ورود اطلاعات آزمایشگاهی'!K14-VLOOKUP('ورود اطلاعات آزمایشگاهی'!E14,Table2[#All],2,FALSE))&gt;125,"Not Ok","OK")</f>
        <v>OK</v>
      </c>
      <c r="N18" s="35">
        <f>('ورود اطلاعات آزمایشگاهی'!K14-VLOOKUP('ورود اطلاعات آزمایشگاهی'!E14,Table2[#All],2,FALSE))</f>
        <v>48</v>
      </c>
      <c r="O18" s="34" t="str">
        <f>IF('ورود اطلاعات آزمایشگاهی'!M14/'ورود اطلاعات آزمایشگاهی'!K14&lt;1.25,"Not Ok","OK")</f>
        <v>OK</v>
      </c>
      <c r="P18" s="36">
        <f>'ورود اطلاعات آزمایشگاهی'!M14/'ورود اطلاعات آزمایشگاهی'!K14</f>
        <v>1.3928571428571428</v>
      </c>
      <c r="Q18" s="41" t="str">
        <f>IF(('ورود اطلاعات آزمایشگاهی'!O14&lt;(VLOOKUP('ورود اطلاعات آزمایشگاهی'!E14,Table2[#All],4,FALSE))),"Not Ok","OK")</f>
        <v>OK</v>
      </c>
      <c r="R18" s="38">
        <f>('ورود اطلاعات آزمایشگاهی'!O14/(VLOOKUP('ورود اطلاعات آزمایشگاهی'!E14,Table2[#All],4,FALSE)))</f>
        <v>1.65</v>
      </c>
      <c r="S18" s="34" t="str">
        <f>IF(('ورود اطلاعات آزمایشگاهی'!P14&lt;(VLOOKUP('ورود اطلاعات آزمایشگاهی'!E14,Table2[#All],5,FALSE))),"Not Ok","OK")</f>
        <v>OK</v>
      </c>
      <c r="T18" s="40">
        <f>('ورود اطلاعات آزمایشگاهی'!P14/(VLOOKUP('ورود اطلاعات آزمایشگاهی'!E14,Table2[#All],5,FALSE)))</f>
        <v>1.6666666666666667</v>
      </c>
      <c r="U18" s="41" t="str">
        <f>IF(AND(VLOOKUP('ورود اطلاعات آزمایشگاهی'!G14,Table1[#All],7,FALSE)&lt;='ورود اطلاعات آزمایشگاهی'!I14,'ورود اطلاعات آزمایشگاهی'!I14&lt;=(VLOOKUP('ورود اطلاعات آزمایشگاهی'!G14,Table1[#All],6,FALSE))),"OK","Not Ok")</f>
        <v>OK</v>
      </c>
      <c r="V18" s="227" t="str">
        <f>IF(U18="OK","وزن‌ و متعاقباً قطر میلگرد در حد رواداری مجاز می‌باشد",IF(VLOOKUP('ورود اطلاعات آزمایشگاهی'!G14,Table1[#All],7,FALSE)&lt;='ورود اطلاعات آزمایشگاهی'!I14,"وزن و متعاقباً قطر میلگرد بیشتر از حد مجاز است",IF('ورود اطلاعات آزمایشگاهی'!I14&lt;=(VLOOKUP('ورود اطلاعات آزمایشگاهی'!G14,Table1[#All],6,FALSE)),"وزن و متعاقباً قطر میلگرد کمتر از حد مجاز است","")))</f>
        <v>وزن‌ و متعاقباً قطر میلگرد در حد رواداری مجاز می‌باشد</v>
      </c>
      <c r="W18" s="228"/>
      <c r="X18" s="40">
        <f>2*('ورود اطلاعات آزمایشگاهی'!I14*1000/(0.00785*PI()*1000))^0.5</f>
        <v>27.76249203324031</v>
      </c>
    </row>
    <row r="19" spans="1:26" ht="28.05" customHeight="1" x14ac:dyDescent="0.3">
      <c r="A19" s="30"/>
      <c r="B19" s="42">
        <v>3</v>
      </c>
      <c r="C19" s="284" t="str">
        <f>'ورود اطلاعات آزمایشگاهی'!C15</f>
        <v>39791-3</v>
      </c>
      <c r="D19" s="285"/>
      <c r="E19" s="242" t="str">
        <f>IF('ورود اطلاعات آزمایشگاهی'!K15&lt;VLOOKUP('ورود اطلاعات آزمایشگاهی'!E15,Table2[#All],2,FALSE),"Not Ok","OK")</f>
        <v>OK</v>
      </c>
      <c r="F19" s="243"/>
      <c r="G19" s="286"/>
      <c r="H19" s="287"/>
      <c r="I19" s="32" t="str">
        <f>IF(VLOOKUP('ورود اطلاعات آزمایشگاهی'!E15,Table2[#All],3,FALSE)/'ورود اطلاعات آزمایشگاهی'!K15&lt;1.18,"Not Ok","OK")</f>
        <v>OK</v>
      </c>
      <c r="J19" s="33">
        <f>VLOOKUP('ورود اطلاعات آزمایشگاهی'!E15,Table2[#All],3,FALSE)/'ورود اطلاعات آزمایشگاهی'!K15</f>
        <v>1.348314606741573</v>
      </c>
      <c r="K19" s="34" t="str">
        <f>IF('ورود اطلاعات آزمایشگاهی'!M15/VLOOKUP('ورود اطلاعات آزمایشگاهی'!E15,Table2[#All],2,FALSE)&lt;1.25,"Not Ok","OK")</f>
        <v>OK</v>
      </c>
      <c r="L19" s="33">
        <f>'ورود اطلاعات آزمایشگاهی'!M15/VLOOKUP('ورود اطلاعات آزمایشگاهی'!E15,Table2[#All],2,FALSE)</f>
        <v>1.5625</v>
      </c>
      <c r="M19" s="32" t="str">
        <f>IF(ABS('ورود اطلاعات آزمایشگاهی'!K15-VLOOKUP('ورود اطلاعات آزمایشگاهی'!E15,Table2[#All],2,FALSE))&gt;125,"Not Ok","OK")</f>
        <v>OK</v>
      </c>
      <c r="N19" s="35">
        <f>('ورود اطلاعات آزمایشگاهی'!K15-VLOOKUP('ورود اطلاعات آزمایشگاهی'!E15,Table2[#All],2,FALSE))</f>
        <v>45</v>
      </c>
      <c r="O19" s="34" t="str">
        <f>IF('ورود اطلاعات آزمایشگاهی'!M15/'ورود اطلاعات آزمایشگاهی'!K15&lt;1.25,"Not Ok","OK")</f>
        <v>OK</v>
      </c>
      <c r="P19" s="36">
        <f>'ورود اطلاعات آزمایشگاهی'!M15/'ورود اطلاعات آزمایشگاهی'!K15</f>
        <v>1.404494382022472</v>
      </c>
      <c r="Q19" s="41" t="str">
        <f>IF(('ورود اطلاعات آزمایشگاهی'!O15&lt;(VLOOKUP('ورود اطلاعات آزمایشگاهی'!E15,Table2[#All],4,FALSE))),"Not Ok","OK")</f>
        <v>OK</v>
      </c>
      <c r="R19" s="38">
        <f>('ورود اطلاعات آزمایشگاهی'!O15/(VLOOKUP('ورود اطلاعات آزمایشگاهی'!E15,Table2[#All],4,FALSE)))</f>
        <v>1.3374999999999999</v>
      </c>
      <c r="S19" s="34" t="str">
        <f>IF(('ورود اطلاعات آزمایشگاهی'!P15&lt;(VLOOKUP('ورود اطلاعات آزمایشگاهی'!E15,Table2[#All],5,FALSE))),"Not Ok","OK")</f>
        <v>OK</v>
      </c>
      <c r="T19" s="40">
        <f>('ورود اطلاعات آزمایشگاهی'!P15/(VLOOKUP('ورود اطلاعات آزمایشگاهی'!E15,Table2[#All],5,FALSE)))</f>
        <v>1.4916666666666665</v>
      </c>
      <c r="U19" s="41" t="str">
        <f>IF(AND(VLOOKUP('ورود اطلاعات آزمایشگاهی'!G15,Table1[#All],7,FALSE)&lt;='ورود اطلاعات آزمایشگاهی'!I15,'ورود اطلاعات آزمایشگاهی'!I15&lt;=(VLOOKUP('ورود اطلاعات آزمایشگاهی'!G15,Table1[#All],6,FALSE))),"OK","Not Ok")</f>
        <v>OK</v>
      </c>
      <c r="V19" s="227" t="str">
        <f>IF(U19="OK","وزن‌ و متعاقباً قطر میلگرد در حد رواداری مجاز می‌باشد",IF(VLOOKUP('ورود اطلاعات آزمایشگاهی'!G15,Table1[#All],7,FALSE)&lt;='ورود اطلاعات آزمایشگاهی'!I15,"وزن و متعاقباً قطر میلگرد بیشتر از حد مجاز است",IF('ورود اطلاعات آزمایشگاهی'!I15&lt;=(VLOOKUP('ورود اطلاعات آزمایشگاهی'!G15,Table1[#All],6,FALSE)),"وزن و متعاقباً قطر میلگرد کمتر از حد مجاز است","")))</f>
        <v>وزن‌ و متعاقباً قطر میلگرد در حد رواداری مجاز می‌باشد</v>
      </c>
      <c r="W19" s="228"/>
      <c r="X19" s="40">
        <f>2*('ورود اطلاعات آزمایشگاهی'!I15*1000/(0.00785*PI()*1000))^0.5</f>
        <v>27.980719664116286</v>
      </c>
    </row>
    <row r="20" spans="1:26" ht="28.05" customHeight="1" x14ac:dyDescent="0.3">
      <c r="A20" s="30"/>
      <c r="B20" s="42">
        <v>4</v>
      </c>
      <c r="C20" s="284" t="str">
        <f>'ورود اطلاعات آزمایشگاهی'!C16</f>
        <v>39791-4</v>
      </c>
      <c r="D20" s="285"/>
      <c r="E20" s="242" t="str">
        <f>IF('ورود اطلاعات آزمایشگاهی'!K16&lt;VLOOKUP('ورود اطلاعات آزمایشگاهی'!E16,Table2[#All],2,FALSE),"Not Ok","OK")</f>
        <v>OK</v>
      </c>
      <c r="F20" s="243"/>
      <c r="G20" s="286"/>
      <c r="H20" s="287"/>
      <c r="I20" s="32" t="str">
        <f>IF(VLOOKUP('ورود اطلاعات آزمایشگاهی'!E16,Table2[#All],3,FALSE)/'ورود اطلاعات آزمایشگاهی'!K16&lt;1.18,"Not Ok","OK")</f>
        <v>OK</v>
      </c>
      <c r="J20" s="33">
        <f>VLOOKUP('ورود اطلاعات آزمایشگاهی'!E16,Table2[#All],3,FALSE)/'ورود اطلاعات آزمایشگاهی'!K16</f>
        <v>1.3824884792626728</v>
      </c>
      <c r="K20" s="34" t="str">
        <f>IF('ورود اطلاعات آزمایشگاهی'!M16/VLOOKUP('ورود اطلاعات آزمایشگاهی'!E16,Table2[#All],2,FALSE)&lt;1.25,"Not Ok","OK")</f>
        <v>OK</v>
      </c>
      <c r="L20" s="33">
        <f>'ورود اطلاعات آزمایشگاهی'!M16/VLOOKUP('ورود اطلاعات آزمایشگاهی'!E16,Table2[#All],2,FALSE)</f>
        <v>1.5275000000000001</v>
      </c>
      <c r="M20" s="32" t="str">
        <f>IF(ABS('ورود اطلاعات آزمایشگاهی'!K16-VLOOKUP('ورود اطلاعات آزمایشگاهی'!E16,Table2[#All],2,FALSE))&gt;125,"Not Ok","OK")</f>
        <v>OK</v>
      </c>
      <c r="N20" s="35">
        <f>('ورود اطلاعات آزمایشگاهی'!K16-VLOOKUP('ورود اطلاعات آزمایشگاهی'!E16,Table2[#All],2,FALSE))</f>
        <v>34</v>
      </c>
      <c r="O20" s="34" t="str">
        <f>IF('ورود اطلاعات آزمایشگاهی'!M16/'ورود اطلاعات آزمایشگاهی'!K16&lt;1.25,"Not Ok","OK")</f>
        <v>OK</v>
      </c>
      <c r="P20" s="36">
        <f>'ورود اطلاعات آزمایشگاهی'!M16/'ورود اطلاعات آزمایشگاهی'!K16</f>
        <v>1.4078341013824884</v>
      </c>
      <c r="Q20" s="41" t="str">
        <f>IF(('ورود اطلاعات آزمایشگاهی'!O16&lt;(VLOOKUP('ورود اطلاعات آزمایشگاهی'!E16,Table2[#All],4,FALSE))),"Not Ok","OK")</f>
        <v>OK</v>
      </c>
      <c r="R20" s="38">
        <f>('ورود اطلاعات آزمایشگاهی'!O16/(VLOOKUP('ورود اطلاعات آزمایشگاهی'!E16,Table2[#All],4,FALSE)))</f>
        <v>1.3812500000000001</v>
      </c>
      <c r="S20" s="34" t="str">
        <f>IF(('ورود اطلاعات آزمایشگاهی'!P16&lt;(VLOOKUP('ورود اطلاعات آزمایشگاهی'!E16,Table2[#All],5,FALSE))),"Not Ok","OK")</f>
        <v>OK</v>
      </c>
      <c r="T20" s="40">
        <f>('ورود اطلاعات آزمایشگاهی'!P16/(VLOOKUP('ورود اطلاعات آزمایشگاهی'!E16,Table2[#All],5,FALSE)))</f>
        <v>1.5166666666666666</v>
      </c>
      <c r="U20" s="41" t="str">
        <f>IF(AND(VLOOKUP('ورود اطلاعات آزمایشگاهی'!G16,Table1[#All],7,FALSE)&lt;='ورود اطلاعات آزمایشگاهی'!I16,'ورود اطلاعات آزمایشگاهی'!I16&lt;=(VLOOKUP('ورود اطلاعات آزمایشگاهی'!G16,Table1[#All],6,FALSE))),"OK","Not Ok")</f>
        <v>OK</v>
      </c>
      <c r="V20" s="227" t="str">
        <f>IF(U20="OK","وزن‌ و متعاقباً قطر میلگرد در حد رواداری مجاز می‌باشد",IF(VLOOKUP('ورود اطلاعات آزمایشگاهی'!G16,Table1[#All],7,FALSE)&lt;='ورود اطلاعات آزمایشگاهی'!I16,"وزن و متعاقباً قطر میلگرد بیشتر از حد مجاز است",IF('ورود اطلاعات آزمایشگاهی'!I16&lt;=(VLOOKUP('ورود اطلاعات آزمایشگاهی'!G16,Table1[#All],6,FALSE)),"وزن و متعاقباً قطر میلگرد کمتر از حد مجاز است","")))</f>
        <v>وزن‌ و متعاقباً قطر میلگرد در حد رواداری مجاز می‌باشد</v>
      </c>
      <c r="W20" s="228"/>
      <c r="X20" s="40">
        <f>2*('ورود اطلاعات آزمایشگاهی'!I16*1000/(0.00785*PI()*1000))^0.5</f>
        <v>27.890725935175343</v>
      </c>
    </row>
    <row r="21" spans="1:26" ht="28.05" customHeight="1" thickBot="1" x14ac:dyDescent="0.35">
      <c r="A21" s="30"/>
      <c r="B21" s="43">
        <v>5</v>
      </c>
      <c r="C21" s="282" t="str">
        <f>'ورود اطلاعات آزمایشگاهی'!C17</f>
        <v>39791-5</v>
      </c>
      <c r="D21" s="283"/>
      <c r="E21" s="244" t="str">
        <f>IF('ورود اطلاعات آزمایشگاهی'!K17&lt;VLOOKUP('ورود اطلاعات آزمایشگاهی'!E17,Table2[#All],2,FALSE),"Not Ok","OK")</f>
        <v>OK</v>
      </c>
      <c r="F21" s="245"/>
      <c r="G21" s="288"/>
      <c r="H21" s="289"/>
      <c r="I21" s="44" t="str">
        <f>IF(VLOOKUP('ورود اطلاعات آزمایشگاهی'!E17,Table2[#All],3,FALSE)/'ورود اطلاعات آزمایشگاهی'!K17&lt;1.18,"Not Ok","OK")</f>
        <v>OK</v>
      </c>
      <c r="J21" s="45">
        <f>VLOOKUP('ورود اطلاعات آزمایشگاهی'!E17,Table2[#All],3,FALSE)/'ورود اطلاعات آزمایشگاهی'!K17</f>
        <v>1.3129102844638949</v>
      </c>
      <c r="K21" s="46" t="str">
        <f>IF('ورود اطلاعات آزمایشگاهی'!M17/VLOOKUP('ورود اطلاعات آزمایشگاهی'!E17,Table2[#All],2,FALSE)&lt;1.25,"Not Ok","OK")</f>
        <v>OK</v>
      </c>
      <c r="L21" s="47">
        <f>'ورود اطلاعات آزمایشگاهی'!M17/VLOOKUP('ورود اطلاعات آزمایشگاهی'!E17,Table2[#All],2,FALSE)</f>
        <v>1.5825</v>
      </c>
      <c r="M21" s="48" t="str">
        <f>IF(ABS('ورود اطلاعات آزمایشگاهی'!K17-VLOOKUP('ورود اطلاعات آزمایشگاهی'!E17,Table2[#All],2,FALSE))&gt;125,"Not Ok","OK")</f>
        <v>OK</v>
      </c>
      <c r="N21" s="49">
        <f>('ورود اطلاعات آزمایشگاهی'!K17-VLOOKUP('ورود اطلاعات آزمایشگاهی'!E17,Table2[#All],2,FALSE))</f>
        <v>57</v>
      </c>
      <c r="O21" s="50" t="str">
        <f>IF('ورود اطلاعات آزمایشگاهی'!M17/'ورود اطلاعات آزمایشگاهی'!K17&lt;1.25,"Not Ok","OK")</f>
        <v>OK</v>
      </c>
      <c r="P21" s="51">
        <f>'ورود اطلاعات آزمایشگاهی'!M17/'ورود اطلاعات آزمایشگاهی'!K17</f>
        <v>1.3851203501094091</v>
      </c>
      <c r="Q21" s="52" t="str">
        <f>IF(('ورود اطلاعات آزمایشگاهی'!O17&lt;(VLOOKUP('ورود اطلاعات آزمایشگاهی'!E17,Table2[#All],4,FALSE))),"Not Ok","OK")</f>
        <v>OK</v>
      </c>
      <c r="R21" s="53">
        <f>('ورود اطلاعات آزمایشگاهی'!O17/(VLOOKUP('ورود اطلاعات آزمایشگاهی'!E17,Table2[#All],4,FALSE)))</f>
        <v>1.5625</v>
      </c>
      <c r="S21" s="50" t="str">
        <f>IF(('ورود اطلاعات آزمایشگاهی'!P17&lt;(VLOOKUP('ورود اطلاعات آزمایشگاهی'!E17,Table2[#All],5,FALSE))),"Not Ok","OK")</f>
        <v>OK</v>
      </c>
      <c r="T21" s="54">
        <f>('ورود اطلاعات آزمایشگاهی'!P17/(VLOOKUP('ورود اطلاعات آزمایشگاهی'!E17,Table2[#All],5,FALSE)))</f>
        <v>1.4916666666666665</v>
      </c>
      <c r="U21" s="52" t="str">
        <f>IF(AND(VLOOKUP('ورود اطلاعات آزمایشگاهی'!G17,Table1[#All],7,FALSE)&lt;='ورود اطلاعات آزمایشگاهی'!I17,'ورود اطلاعات آزمایشگاهی'!I17&lt;=(VLOOKUP('ورود اطلاعات آزمایشگاهی'!G17,Table1[#All],6,FALSE))),"OK","Not Ok")</f>
        <v>OK</v>
      </c>
      <c r="V21" s="229" t="str">
        <f>IF(U21="OK","وزن‌ و متعاقباً قطر میلگرد در حد رواداری مجاز می‌باشد",IF(VLOOKUP('ورود اطلاعات آزمایشگاهی'!G17,Table1[#All],7,FALSE)&lt;='ورود اطلاعات آزمایشگاهی'!I17,"وزن و متعاقباً قطر میلگرد بیشتر از حد مجاز است",IF('ورود اطلاعات آزمایشگاهی'!I17&lt;=(VLOOKUP('ورود اطلاعات آزمایشگاهی'!G17,Table1[#All],6,FALSE)),"وزن و متعاقباً قطر میلگرد کمتر از حد مجاز است","")))</f>
        <v>وزن‌ و متعاقباً قطر میلگرد در حد رواداری مجاز می‌باشد</v>
      </c>
      <c r="W21" s="230"/>
      <c r="X21" s="54">
        <f>2*('ورود اطلاعات آزمایشگاهی'!I17*1000/(0.00785*PI()*1000))^0.5</f>
        <v>27.969123841130063</v>
      </c>
    </row>
    <row r="22" spans="1:26" ht="3" customHeight="1" thickTop="1" x14ac:dyDescent="0.3"/>
    <row r="23" spans="1:26" ht="28.8" customHeight="1" x14ac:dyDescent="0.3">
      <c r="B23" s="214" t="s">
        <v>106</v>
      </c>
      <c r="C23" s="214"/>
      <c r="D23" s="214"/>
      <c r="E23" s="214"/>
      <c r="F23" s="214"/>
      <c r="G23" s="214"/>
      <c r="H23" s="214"/>
      <c r="I23" s="214"/>
      <c r="J23" s="215" t="s">
        <v>80</v>
      </c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</row>
    <row r="24" spans="1:26" x14ac:dyDescent="0.3">
      <c r="J24" s="213" t="s">
        <v>79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</row>
    <row r="25" spans="1:26" ht="24" customHeight="1" thickBot="1" x14ac:dyDescent="0.35">
      <c r="G25" s="165" t="s">
        <v>107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1:26" ht="22.05" customHeight="1" thickTop="1" x14ac:dyDescent="0.3">
      <c r="B26" s="193" t="s">
        <v>100</v>
      </c>
      <c r="C26" s="193"/>
      <c r="D26" s="193"/>
      <c r="E26" s="193"/>
      <c r="F26" s="193"/>
      <c r="G26" s="193"/>
      <c r="H26" s="193"/>
      <c r="I26" s="193"/>
      <c r="J26" s="194" t="str">
        <f>IF(AND(U17="OK",U18="OK",U19="OK",U20="OK",U21="OK"),"قابل قبول می‌باشد.","قابل قبول نمی‌باشد.")</f>
        <v>قابل قبول می‌باشد.</v>
      </c>
      <c r="K26" s="195"/>
      <c r="L26" s="196"/>
      <c r="M26" s="55"/>
      <c r="N26" s="182" t="s">
        <v>85</v>
      </c>
      <c r="O26" s="166" t="s">
        <v>86</v>
      </c>
      <c r="P26" s="167"/>
      <c r="Q26" s="167"/>
      <c r="R26" s="167"/>
      <c r="S26" s="168"/>
      <c r="T26" s="177" t="str">
        <f>IF(J27="قابل قبول می‌باشد.",IF(AND(J29="قابل قبول می‌باشد.",J30="قابل قبول می‌باشد."),"از نظر مکانیکی قابل قبول می‌باشد.","از نظر مکانیکی قابل قبول نمی‌باشد."),IF(J28="قابل قبول نمی‌باشد.","از نظر مکانیکی قابل قبول نمی‌باشد.",IF(AND(J29="قابل قبول می‌باشد.",J30="قابل قبول می‌باشد."),"از نظر مکانیکی قابل قبول می‌باشد.","از نظر مکانیکی قابل قبول نمی‌باشد.")))</f>
        <v>از نظر مکانیکی قابل قبول می‌باشد.</v>
      </c>
      <c r="U26" s="177"/>
      <c r="V26" s="177"/>
      <c r="W26" s="177"/>
      <c r="X26" s="178"/>
    </row>
    <row r="27" spans="1:26" ht="22.05" customHeight="1" x14ac:dyDescent="0.3">
      <c r="B27" s="193" t="s">
        <v>101</v>
      </c>
      <c r="C27" s="193"/>
      <c r="D27" s="193"/>
      <c r="E27" s="193"/>
      <c r="F27" s="193"/>
      <c r="G27" s="193"/>
      <c r="H27" s="193"/>
      <c r="I27" s="193"/>
      <c r="J27" s="194" t="str">
        <f>IF(AND(E17="OK",E18="OK",E19="OK",E20="OK",E21="OK"),"قابل قبول می‌باشد.","قابل قبول نمی‌باشد.")</f>
        <v>قابل قبول می‌باشد.</v>
      </c>
      <c r="K27" s="195"/>
      <c r="L27" s="196"/>
      <c r="M27" s="55"/>
      <c r="N27" s="183"/>
      <c r="O27" s="169"/>
      <c r="P27" s="170"/>
      <c r="Q27" s="170"/>
      <c r="R27" s="170"/>
      <c r="S27" s="171"/>
      <c r="T27" s="175" t="str">
        <f>IF(J26="قابل قبول نمی‌باشد.","از نظر مشخصات هندسی قابل قبول نمی‌باشد.","از نظر مشخصات هندسی قابل قبول می‌باشد.")</f>
        <v>از نظر مشخصات هندسی قابل قبول می‌باشد.</v>
      </c>
      <c r="U27" s="175"/>
      <c r="V27" s="175"/>
      <c r="W27" s="175"/>
      <c r="X27" s="176"/>
    </row>
    <row r="28" spans="1:26" ht="22.05" customHeight="1" thickBot="1" x14ac:dyDescent="0.35">
      <c r="B28" s="193" t="s">
        <v>102</v>
      </c>
      <c r="C28" s="193"/>
      <c r="D28" s="193"/>
      <c r="E28" s="193"/>
      <c r="F28" s="193"/>
      <c r="G28" s="193"/>
      <c r="H28" s="193"/>
      <c r="I28" s="193"/>
      <c r="J28" s="200" t="str">
        <f>IF(G17="Not Ok","قابل قبول نمی‌باشد.",IF(G17="OK","قابل قبول می‌باشد.","نیاز به کنترل این بند نیست."))</f>
        <v>نیاز به کنترل این بند نیست.</v>
      </c>
      <c r="K28" s="201"/>
      <c r="L28" s="202"/>
      <c r="M28" s="55"/>
      <c r="N28" s="184"/>
      <c r="O28" s="172"/>
      <c r="P28" s="173"/>
      <c r="Q28" s="173"/>
      <c r="R28" s="173"/>
      <c r="S28" s="174"/>
      <c r="T28" s="179" t="s">
        <v>88</v>
      </c>
      <c r="U28" s="180"/>
      <c r="V28" s="180"/>
      <c r="W28" s="180"/>
      <c r="X28" s="181"/>
    </row>
    <row r="29" spans="1:26" ht="22.05" customHeight="1" thickTop="1" x14ac:dyDescent="0.3">
      <c r="B29" s="193" t="s">
        <v>103</v>
      </c>
      <c r="C29" s="193"/>
      <c r="D29" s="193"/>
      <c r="E29" s="193"/>
      <c r="F29" s="193"/>
      <c r="G29" s="193"/>
      <c r="H29" s="193"/>
      <c r="I29" s="193"/>
      <c r="J29" s="194" t="str">
        <f>IF(AND(I17="OK",I18="OK",I19="OK",I20="OK",I21="OK",M17="OK",M18="OK",M19="OK",M20="OK",M21="OK",O17="OK",O18="OK",O19="OK",O20="OK",O21="OK",K17="OK",K18="OK",K19="OK",K20="OK",K21="OK"),"قابل قبول می‌باشد.","قابل قبول نمی‌باشد.")</f>
        <v>قابل قبول می‌باشد.</v>
      </c>
      <c r="K29" s="195"/>
      <c r="L29" s="196"/>
      <c r="M29" s="56"/>
      <c r="N29" s="155" t="s">
        <v>89</v>
      </c>
      <c r="O29" s="156"/>
      <c r="P29" s="156"/>
      <c r="Q29" s="156"/>
      <c r="R29" s="156"/>
      <c r="S29" s="157"/>
      <c r="T29" s="155" t="s">
        <v>90</v>
      </c>
      <c r="U29" s="156"/>
      <c r="V29" s="156"/>
      <c r="W29" s="156"/>
      <c r="X29" s="157"/>
    </row>
    <row r="30" spans="1:26" ht="22.05" customHeight="1" x14ac:dyDescent="0.3">
      <c r="B30" s="193" t="s">
        <v>104</v>
      </c>
      <c r="C30" s="193"/>
      <c r="D30" s="193"/>
      <c r="E30" s="193"/>
      <c r="F30" s="193"/>
      <c r="G30" s="193"/>
      <c r="H30" s="193"/>
      <c r="I30" s="193"/>
      <c r="J30" s="194" t="str">
        <f>IF(AND(Q17="OK",Q18="OK",Q19="OK",Q20="OK",Q21="OK",S17="OK",S18="OK",S19="OK",S20="OK",S21="OK"),"قابل قبول می‌باشد.","قابل قبول نمی‌باشد.")</f>
        <v>قابل قبول می‌باشد.</v>
      </c>
      <c r="K30" s="195"/>
      <c r="L30" s="196"/>
      <c r="M30" s="56"/>
      <c r="N30" s="158"/>
      <c r="O30" s="159"/>
      <c r="P30" s="159"/>
      <c r="Q30" s="159"/>
      <c r="R30" s="159"/>
      <c r="S30" s="160"/>
      <c r="T30" s="158"/>
      <c r="U30" s="159"/>
      <c r="V30" s="159"/>
      <c r="W30" s="159"/>
      <c r="X30" s="160"/>
    </row>
    <row r="31" spans="1:26" ht="22.05" customHeight="1" x14ac:dyDescent="0.3">
      <c r="B31" s="193" t="s">
        <v>105</v>
      </c>
      <c r="C31" s="193"/>
      <c r="D31" s="193"/>
      <c r="E31" s="193"/>
      <c r="F31" s="193"/>
      <c r="G31" s="193"/>
      <c r="H31" s="193"/>
      <c r="I31" s="193"/>
      <c r="J31" s="197" t="s">
        <v>87</v>
      </c>
      <c r="K31" s="198"/>
      <c r="L31" s="199"/>
      <c r="M31" s="57"/>
      <c r="N31" s="161"/>
      <c r="O31" s="162"/>
      <c r="P31" s="162"/>
      <c r="Q31" s="162"/>
      <c r="R31" s="162"/>
      <c r="S31" s="163"/>
      <c r="T31" s="161"/>
      <c r="U31" s="162"/>
      <c r="V31" s="162"/>
      <c r="W31" s="162"/>
      <c r="X31" s="163"/>
    </row>
    <row r="32" spans="1:26" ht="6" customHeight="1" x14ac:dyDescent="0.3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0"/>
      <c r="Z32" s="58"/>
    </row>
  </sheetData>
  <sheetProtection algorithmName="SHA-512" hashValue="Xa1FK+jD6GLOABXjzEzItiBNChkdQvmwvkaMRHOhg1p6xYPGF6qQ2XyWIBmSIQNYjKZbK2NpLsJIxYvhtBlwfw==" saltValue="OD2PQZH4/6Tsd48I+dHlag==" spinCount="100000" sheet="1" objects="1" scenarios="1" selectLockedCells="1"/>
  <mergeCells count="93">
    <mergeCell ref="I13:J13"/>
    <mergeCell ref="B11:B16"/>
    <mergeCell ref="C11:D16"/>
    <mergeCell ref="B5:D6"/>
    <mergeCell ref="B2:X3"/>
    <mergeCell ref="N5:R6"/>
    <mergeCell ref="C21:D21"/>
    <mergeCell ref="B26:I26"/>
    <mergeCell ref="J26:L26"/>
    <mergeCell ref="C20:D20"/>
    <mergeCell ref="G17:H21"/>
    <mergeCell ref="C19:D19"/>
    <mergeCell ref="C18:D18"/>
    <mergeCell ref="C17:D17"/>
    <mergeCell ref="O13:P13"/>
    <mergeCell ref="T5:U6"/>
    <mergeCell ref="V5:X6"/>
    <mergeCell ref="V8:X9"/>
    <mergeCell ref="L5:M6"/>
    <mergeCell ref="I14:J15"/>
    <mergeCell ref="Q12:R12"/>
    <mergeCell ref="S12:T12"/>
    <mergeCell ref="O12:P12"/>
    <mergeCell ref="M12:N12"/>
    <mergeCell ref="M14:N15"/>
    <mergeCell ref="O14:P15"/>
    <mergeCell ref="K14:L15"/>
    <mergeCell ref="Q14:R15"/>
    <mergeCell ref="Q13:R13"/>
    <mergeCell ref="S13:T13"/>
    <mergeCell ref="S14:T15"/>
    <mergeCell ref="K12:L12"/>
    <mergeCell ref="K13:L13"/>
    <mergeCell ref="M13:N13"/>
    <mergeCell ref="I12:J12"/>
    <mergeCell ref="E18:F18"/>
    <mergeCell ref="E19:F19"/>
    <mergeCell ref="E20:F20"/>
    <mergeCell ref="E21:F21"/>
    <mergeCell ref="G12:H12"/>
    <mergeCell ref="G13:H13"/>
    <mergeCell ref="E14:F15"/>
    <mergeCell ref="G16:H16"/>
    <mergeCell ref="E12:F12"/>
    <mergeCell ref="E13:F13"/>
    <mergeCell ref="E5:J6"/>
    <mergeCell ref="N8:R9"/>
    <mergeCell ref="J24:X24"/>
    <mergeCell ref="B23:I23"/>
    <mergeCell ref="J23:X23"/>
    <mergeCell ref="U14:W15"/>
    <mergeCell ref="U12:W12"/>
    <mergeCell ref="U13:W13"/>
    <mergeCell ref="X12:X16"/>
    <mergeCell ref="V17:W17"/>
    <mergeCell ref="V18:W18"/>
    <mergeCell ref="V19:W19"/>
    <mergeCell ref="V20:W20"/>
    <mergeCell ref="V21:W21"/>
    <mergeCell ref="U11:X11"/>
    <mergeCell ref="V16:W16"/>
    <mergeCell ref="B32:X32"/>
    <mergeCell ref="G25:U25"/>
    <mergeCell ref="O26:S28"/>
    <mergeCell ref="T27:X27"/>
    <mergeCell ref="T26:X26"/>
    <mergeCell ref="T28:X28"/>
    <mergeCell ref="N26:N28"/>
    <mergeCell ref="B30:I30"/>
    <mergeCell ref="J29:L29"/>
    <mergeCell ref="J30:L30"/>
    <mergeCell ref="B31:I31"/>
    <mergeCell ref="J31:L31"/>
    <mergeCell ref="B27:I27"/>
    <mergeCell ref="J27:L27"/>
    <mergeCell ref="B28:I28"/>
    <mergeCell ref="J28:L28"/>
    <mergeCell ref="B8:E8"/>
    <mergeCell ref="B9:E9"/>
    <mergeCell ref="F8:J9"/>
    <mergeCell ref="N29:S31"/>
    <mergeCell ref="T29:X31"/>
    <mergeCell ref="T8:U8"/>
    <mergeCell ref="T9:U9"/>
    <mergeCell ref="L8:M8"/>
    <mergeCell ref="L9:M9"/>
    <mergeCell ref="B29:I29"/>
    <mergeCell ref="Q11:T11"/>
    <mergeCell ref="E11:P11"/>
    <mergeCell ref="G14:H14"/>
    <mergeCell ref="G15:H15"/>
    <mergeCell ref="E16:F16"/>
    <mergeCell ref="E17:F17"/>
  </mergeCells>
  <conditionalFormatting sqref="E17:F17">
    <cfRule type="containsText" dxfId="36" priority="17" operator="containsText" text="Not Ok">
      <formula>NOT(ISERROR(SEARCH("Not Ok",E17)))</formula>
    </cfRule>
  </conditionalFormatting>
  <conditionalFormatting sqref="E18:F18">
    <cfRule type="containsText" dxfId="35" priority="16" operator="containsText" text="Not Ok">
      <formula>NOT(ISERROR(SEARCH("Not Ok",E18)))</formula>
    </cfRule>
  </conditionalFormatting>
  <conditionalFormatting sqref="E19:F21">
    <cfRule type="containsText" dxfId="34" priority="15" operator="containsText" text="Not Ok">
      <formula>NOT(ISERROR(SEARCH("Not Ok",E19)))</formula>
    </cfRule>
  </conditionalFormatting>
  <conditionalFormatting sqref="G17:H21">
    <cfRule type="containsText" dxfId="33" priority="14" operator="containsText" text="Not Ok">
      <formula>NOT(ISERROR(SEARCH("Not Ok",G17)))</formula>
    </cfRule>
  </conditionalFormatting>
  <conditionalFormatting sqref="I17">
    <cfRule type="containsText" dxfId="32" priority="13" operator="containsText" text="Not Ok">
      <formula>NOT(ISERROR(SEARCH("Not Ok",I17)))</formula>
    </cfRule>
  </conditionalFormatting>
  <conditionalFormatting sqref="I18:I21">
    <cfRule type="containsText" dxfId="31" priority="12" operator="containsText" text="Not Ok">
      <formula>NOT(ISERROR(SEARCH("Not Ok",I18)))</formula>
    </cfRule>
  </conditionalFormatting>
  <conditionalFormatting sqref="K17:K21">
    <cfRule type="containsText" dxfId="30" priority="11" operator="containsText" text="Not Ok">
      <formula>NOT(ISERROR(SEARCH("Not Ok",K17)))</formula>
    </cfRule>
  </conditionalFormatting>
  <conditionalFormatting sqref="M17:M21">
    <cfRule type="containsText" dxfId="29" priority="10" operator="containsText" text="Not Ok">
      <formula>NOT(ISERROR(SEARCH("Not Ok",M17)))</formula>
    </cfRule>
  </conditionalFormatting>
  <conditionalFormatting sqref="O17:O21">
    <cfRule type="containsText" dxfId="28" priority="9" operator="containsText" text="Not Ok">
      <formula>NOT(ISERROR(SEARCH("Not Ok",O17)))</formula>
    </cfRule>
  </conditionalFormatting>
  <conditionalFormatting sqref="Q17:Q21">
    <cfRule type="containsText" dxfId="27" priority="8" operator="containsText" text="Not Ok">
      <formula>NOT(ISERROR(SEARCH("Not Ok",Q17)))</formula>
    </cfRule>
  </conditionalFormatting>
  <conditionalFormatting sqref="S17:S21">
    <cfRule type="containsText" dxfId="26" priority="7" operator="containsText" text="Not Ok">
      <formula>NOT(ISERROR(SEARCH("Not Ok",S17)))</formula>
    </cfRule>
  </conditionalFormatting>
  <conditionalFormatting sqref="U17:U21">
    <cfRule type="containsText" dxfId="25" priority="6" operator="containsText" text="Not Ok">
      <formula>NOT(ISERROR(SEARCH("Not Ok",U17)))</formula>
    </cfRule>
  </conditionalFormatting>
  <conditionalFormatting sqref="J26 M26">
    <cfRule type="containsText" dxfId="24" priority="5" operator="containsText" text="قابل قبول نمی‌باشد.">
      <formula>NOT(ISERROR(SEARCH("قابل قبول نمی‌باشد.",J26)))</formula>
    </cfRule>
  </conditionalFormatting>
  <conditionalFormatting sqref="J27:J30 M27:M30">
    <cfRule type="containsText" dxfId="23" priority="4" operator="containsText" text="قابل قبول نمی‌باشد.">
      <formula>NOT(ISERROR(SEARCH("قابل قبول نمی‌باشد.",J27)))</formula>
    </cfRule>
  </conditionalFormatting>
  <conditionalFormatting sqref="J31 M31">
    <cfRule type="containsText" dxfId="22" priority="3" operator="containsText" text="قابل قبول نمی‌باشد.">
      <formula>NOT(ISERROR(SEARCH("قابل قبول نمی‌باشد.",J31)))</formula>
    </cfRule>
  </conditionalFormatting>
  <conditionalFormatting sqref="T26:X26">
    <cfRule type="containsText" dxfId="21" priority="2" operator="containsText" text="از نظر مکانیکی قابل قبول نمی‌باشد.">
      <formula>NOT(ISERROR(SEARCH("از نظر مکانیکی قابل قبول نمی‌باشد.",T26)))</formula>
    </cfRule>
  </conditionalFormatting>
  <conditionalFormatting sqref="T27:X27">
    <cfRule type="containsText" dxfId="20" priority="1" operator="containsText" text="از نظر مشخصات هندسی قابل قبول نمی‌باشد.">
      <formula>NOT(ISERROR(SEARCH("از نظر مشخصات هندسی قابل قبول نمی‌باشد.",T27)))</formula>
    </cfRule>
  </conditionalFormatting>
  <printOptions horizontalCentered="1" verticalCentered="1"/>
  <pageMargins left="0" right="0" top="0" bottom="0" header="0" footer="0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zoomScale="115" zoomScaleNormal="115" workbookViewId="0">
      <selection sqref="A1:XFD1048576"/>
    </sheetView>
  </sheetViews>
  <sheetFormatPr defaultRowHeight="14.4" x14ac:dyDescent="0.3"/>
  <cols>
    <col min="1" max="1" width="9.109375" style="6" customWidth="1"/>
    <col min="2" max="2" width="8.77734375" style="6" customWidth="1"/>
    <col min="3" max="3" width="10.109375" style="6" customWidth="1"/>
    <col min="4" max="4" width="6.77734375" style="6" customWidth="1"/>
    <col min="5" max="5" width="6.21875" style="6" customWidth="1"/>
    <col min="6" max="6" width="7.5546875" style="6" customWidth="1"/>
    <col min="7" max="7" width="8.44140625" style="6" customWidth="1"/>
    <col min="8" max="8" width="12.88671875" style="6" customWidth="1"/>
    <col min="9" max="9" width="13.44140625" style="6" customWidth="1"/>
    <col min="10" max="10" width="11.33203125" style="6" customWidth="1"/>
    <col min="11" max="11" width="12" style="6" customWidth="1"/>
    <col min="12" max="16384" width="8.88671875" style="6"/>
  </cols>
  <sheetData>
    <row r="2" spans="1:13" ht="43.2" x14ac:dyDescent="0.3">
      <c r="A2" s="81"/>
      <c r="B2" s="81" t="s">
        <v>7</v>
      </c>
      <c r="C2" s="6">
        <v>7850</v>
      </c>
      <c r="D2" s="6" t="s">
        <v>8</v>
      </c>
    </row>
    <row r="3" spans="1:13" x14ac:dyDescent="0.3">
      <c r="A3" s="81"/>
      <c r="B3" s="81"/>
    </row>
    <row r="4" spans="1:13" ht="28.8" x14ac:dyDescent="0.3">
      <c r="A4" s="81" t="s">
        <v>24</v>
      </c>
      <c r="B4" s="6" t="s">
        <v>2</v>
      </c>
      <c r="C4" s="6" t="s">
        <v>3</v>
      </c>
      <c r="D4" s="82" t="s">
        <v>9</v>
      </c>
      <c r="E4" s="82" t="s">
        <v>10</v>
      </c>
    </row>
    <row r="5" spans="1:13" x14ac:dyDescent="0.3">
      <c r="A5" s="6" t="s">
        <v>26</v>
      </c>
      <c r="B5" s="6">
        <v>340</v>
      </c>
      <c r="C5" s="6">
        <v>500</v>
      </c>
      <c r="D5" s="6">
        <v>18</v>
      </c>
      <c r="E5" s="6">
        <v>15</v>
      </c>
    </row>
    <row r="6" spans="1:13" x14ac:dyDescent="0.3">
      <c r="A6" s="6" t="s">
        <v>25</v>
      </c>
      <c r="B6" s="6">
        <v>400</v>
      </c>
      <c r="C6" s="6">
        <v>600</v>
      </c>
      <c r="D6" s="6">
        <v>16</v>
      </c>
      <c r="E6" s="6">
        <v>12</v>
      </c>
    </row>
    <row r="7" spans="1:13" x14ac:dyDescent="0.3">
      <c r="A7" s="6" t="s">
        <v>33</v>
      </c>
      <c r="B7" s="6">
        <v>500</v>
      </c>
      <c r="C7" s="6">
        <v>650</v>
      </c>
      <c r="D7" s="6">
        <v>16</v>
      </c>
      <c r="E7" s="6">
        <v>12</v>
      </c>
      <c r="F7" s="305" t="s">
        <v>108</v>
      </c>
      <c r="G7" s="305"/>
      <c r="H7" s="305"/>
      <c r="I7" s="305"/>
      <c r="J7" s="305"/>
      <c r="K7" s="305"/>
      <c r="L7" s="305"/>
      <c r="M7" s="305"/>
    </row>
    <row r="8" spans="1:13" x14ac:dyDescent="0.3">
      <c r="F8" s="305"/>
      <c r="G8" s="305"/>
      <c r="H8" s="305"/>
      <c r="I8" s="305"/>
      <c r="J8" s="305"/>
      <c r="K8" s="305"/>
      <c r="L8" s="305"/>
      <c r="M8" s="305"/>
    </row>
    <row r="10" spans="1:13" ht="28.8" x14ac:dyDescent="0.3">
      <c r="A10" s="81" t="s">
        <v>12</v>
      </c>
      <c r="B10" s="81" t="s">
        <v>13</v>
      </c>
      <c r="C10" s="81" t="s">
        <v>14</v>
      </c>
      <c r="D10" s="81" t="s">
        <v>15</v>
      </c>
      <c r="E10" s="81" t="s">
        <v>20</v>
      </c>
      <c r="F10" s="81" t="s">
        <v>17</v>
      </c>
      <c r="G10" s="81" t="s">
        <v>21</v>
      </c>
      <c r="H10" s="81" t="s">
        <v>18</v>
      </c>
      <c r="I10" s="81" t="s">
        <v>22</v>
      </c>
      <c r="J10" s="81" t="s">
        <v>19</v>
      </c>
      <c r="K10" s="81" t="s">
        <v>23</v>
      </c>
    </row>
    <row r="11" spans="1:13" ht="16.2" x14ac:dyDescent="0.3">
      <c r="A11" s="6" t="s">
        <v>16</v>
      </c>
      <c r="B11" s="6" t="s">
        <v>61</v>
      </c>
      <c r="C11" s="6" t="s">
        <v>6</v>
      </c>
      <c r="D11" s="6" t="s">
        <v>11</v>
      </c>
      <c r="E11" s="6" t="s">
        <v>11</v>
      </c>
      <c r="F11" s="6" t="s">
        <v>6</v>
      </c>
      <c r="G11" s="6" t="s">
        <v>6</v>
      </c>
      <c r="H11" s="6" t="s">
        <v>62</v>
      </c>
      <c r="I11" s="6" t="s">
        <v>62</v>
      </c>
      <c r="J11" s="6" t="s">
        <v>5</v>
      </c>
      <c r="K11" s="6" t="s">
        <v>5</v>
      </c>
    </row>
    <row r="12" spans="1:13" x14ac:dyDescent="0.3">
      <c r="A12" s="6">
        <v>6</v>
      </c>
      <c r="B12" s="6">
        <v>28.3</v>
      </c>
      <c r="C12" s="6">
        <v>0.222</v>
      </c>
      <c r="D12" s="6">
        <v>8</v>
      </c>
      <c r="E12" s="6">
        <f>D12*-1</f>
        <v>-8</v>
      </c>
      <c r="F12" s="83">
        <f>C12*(1+D12%)</f>
        <v>0.23976000000000003</v>
      </c>
      <c r="G12" s="83">
        <f>C12*(1+E12%)</f>
        <v>0.20424</v>
      </c>
      <c r="H12" s="83">
        <f>(F12*1000)/(0.00785*1000)</f>
        <v>30.542675159235671</v>
      </c>
      <c r="I12" s="83">
        <f>(G12*1000)/(0.00785*1000)</f>
        <v>26.017834394904462</v>
      </c>
      <c r="J12" s="83">
        <f>2*(H12/PI())^0.5</f>
        <v>6.2360357451460455</v>
      </c>
      <c r="K12" s="83">
        <f>2*(I12/PI())^0.5</f>
        <v>5.7556003700711376</v>
      </c>
    </row>
    <row r="13" spans="1:13" x14ac:dyDescent="0.3">
      <c r="A13" s="6">
        <v>8</v>
      </c>
      <c r="B13" s="6">
        <v>50.3</v>
      </c>
      <c r="C13" s="6">
        <v>0.39500000000000002</v>
      </c>
      <c r="D13" s="6">
        <v>8</v>
      </c>
      <c r="E13" s="6">
        <f t="shared" ref="E13:E26" si="0">D13*-1</f>
        <v>-8</v>
      </c>
      <c r="F13" s="83">
        <f t="shared" ref="F13:F26" si="1">C13*(1+D13%)</f>
        <v>0.42660000000000003</v>
      </c>
      <c r="G13" s="83">
        <f t="shared" ref="G13:G26" si="2">C13*(1+E13%)</f>
        <v>0.36340000000000006</v>
      </c>
      <c r="H13" s="83">
        <f t="shared" ref="H13:H26" si="3">(F13*1000)/(0.00785*1000)</f>
        <v>54.34394904458599</v>
      </c>
      <c r="I13" s="83">
        <f t="shared" ref="I13:I26" si="4">(G13*1000)/(0.00785*1000)</f>
        <v>46.292993630573257</v>
      </c>
      <c r="J13" s="83">
        <f t="shared" ref="J13:J26" si="5">2*(H13/PI())^0.5</f>
        <v>8.3182248671600334</v>
      </c>
      <c r="K13" s="83">
        <f t="shared" ref="K13:K26" si="6">2*(I13/PI())^0.5</f>
        <v>7.6773739087411181</v>
      </c>
    </row>
    <row r="14" spans="1:13" x14ac:dyDescent="0.3">
      <c r="A14" s="6">
        <v>10</v>
      </c>
      <c r="B14" s="6">
        <v>78.5</v>
      </c>
      <c r="C14" s="6">
        <v>0.61599999999999999</v>
      </c>
      <c r="D14" s="6">
        <v>6</v>
      </c>
      <c r="E14" s="6">
        <f t="shared" si="0"/>
        <v>-6</v>
      </c>
      <c r="F14" s="83">
        <f t="shared" si="1"/>
        <v>0.65295999999999998</v>
      </c>
      <c r="G14" s="83">
        <f t="shared" si="2"/>
        <v>0.57904</v>
      </c>
      <c r="H14" s="83">
        <f t="shared" si="3"/>
        <v>83.179617834394918</v>
      </c>
      <c r="I14" s="83">
        <f t="shared" si="4"/>
        <v>73.763057324840759</v>
      </c>
      <c r="J14" s="83">
        <f t="shared" si="5"/>
        <v>10.291140789179293</v>
      </c>
      <c r="K14" s="83">
        <f t="shared" si="6"/>
        <v>9.6911321075792767</v>
      </c>
    </row>
    <row r="15" spans="1:13" x14ac:dyDescent="0.3">
      <c r="A15" s="6">
        <v>12</v>
      </c>
      <c r="B15" s="6">
        <v>113</v>
      </c>
      <c r="C15" s="6">
        <v>0.88800000000000001</v>
      </c>
      <c r="D15" s="6">
        <v>6</v>
      </c>
      <c r="E15" s="6">
        <f t="shared" si="0"/>
        <v>-6</v>
      </c>
      <c r="F15" s="83">
        <f t="shared" si="1"/>
        <v>0.94128000000000001</v>
      </c>
      <c r="G15" s="83">
        <f>C15*(1+E15%)</f>
        <v>0.83472000000000002</v>
      </c>
      <c r="H15" s="83">
        <f t="shared" si="3"/>
        <v>119.90828025477707</v>
      </c>
      <c r="I15" s="83">
        <f t="shared" si="4"/>
        <v>106.33375796178345</v>
      </c>
      <c r="J15" s="83">
        <f t="shared" si="5"/>
        <v>12.35604969889522</v>
      </c>
      <c r="K15" s="83">
        <f t="shared" si="6"/>
        <v>11.635649770306776</v>
      </c>
    </row>
    <row r="16" spans="1:13" x14ac:dyDescent="0.3">
      <c r="A16" s="6">
        <v>14</v>
      </c>
      <c r="B16" s="6">
        <v>154</v>
      </c>
      <c r="C16" s="6">
        <v>1.21</v>
      </c>
      <c r="D16" s="6">
        <v>5</v>
      </c>
      <c r="E16" s="6">
        <f t="shared" si="0"/>
        <v>-5</v>
      </c>
      <c r="F16" s="83">
        <f t="shared" si="1"/>
        <v>1.2705</v>
      </c>
      <c r="G16" s="83">
        <f t="shared" si="2"/>
        <v>1.1495</v>
      </c>
      <c r="H16" s="83">
        <f t="shared" si="3"/>
        <v>161.84713375796179</v>
      </c>
      <c r="I16" s="83">
        <f t="shared" si="4"/>
        <v>146.43312101910828</v>
      </c>
      <c r="J16" s="83">
        <f t="shared" si="5"/>
        <v>14.355144405497224</v>
      </c>
      <c r="K16" s="83">
        <f t="shared" si="6"/>
        <v>13.654465948564901</v>
      </c>
    </row>
    <row r="17" spans="1:11" x14ac:dyDescent="0.3">
      <c r="A17" s="6">
        <v>16</v>
      </c>
      <c r="B17" s="6">
        <v>201</v>
      </c>
      <c r="C17" s="6">
        <v>1.58</v>
      </c>
      <c r="D17" s="6">
        <v>5</v>
      </c>
      <c r="E17" s="6">
        <f t="shared" si="0"/>
        <v>-5</v>
      </c>
      <c r="F17" s="83">
        <f t="shared" si="1"/>
        <v>1.6590000000000003</v>
      </c>
      <c r="G17" s="83">
        <f t="shared" si="2"/>
        <v>1.5009999999999999</v>
      </c>
      <c r="H17" s="83">
        <f t="shared" si="3"/>
        <v>211.33757961783442</v>
      </c>
      <c r="I17" s="83">
        <f t="shared" si="4"/>
        <v>191.21019108280257</v>
      </c>
      <c r="J17" s="83">
        <f t="shared" si="5"/>
        <v>16.403760655960653</v>
      </c>
      <c r="K17" s="83">
        <f t="shared" si="6"/>
        <v>15.603088689198399</v>
      </c>
    </row>
    <row r="18" spans="1:11" x14ac:dyDescent="0.3">
      <c r="A18" s="6">
        <v>18</v>
      </c>
      <c r="B18" s="6">
        <v>254</v>
      </c>
      <c r="C18" s="6">
        <v>2</v>
      </c>
      <c r="D18" s="6">
        <v>5</v>
      </c>
      <c r="E18" s="6">
        <f t="shared" si="0"/>
        <v>-5</v>
      </c>
      <c r="F18" s="83">
        <f t="shared" si="1"/>
        <v>2.1</v>
      </c>
      <c r="G18" s="83">
        <f t="shared" si="2"/>
        <v>1.9</v>
      </c>
      <c r="H18" s="83">
        <f t="shared" si="3"/>
        <v>267.515923566879</v>
      </c>
      <c r="I18" s="83">
        <f t="shared" si="4"/>
        <v>242.03821656050957</v>
      </c>
      <c r="J18" s="83">
        <f t="shared" si="5"/>
        <v>18.455672643707668</v>
      </c>
      <c r="K18" s="83">
        <f t="shared" si="6"/>
        <v>17.554846301292812</v>
      </c>
    </row>
    <row r="19" spans="1:11" x14ac:dyDescent="0.3">
      <c r="A19" s="6">
        <v>20</v>
      </c>
      <c r="B19" s="6">
        <v>314</v>
      </c>
      <c r="C19" s="6">
        <v>2.4700000000000002</v>
      </c>
      <c r="D19" s="6">
        <v>5</v>
      </c>
      <c r="E19" s="6">
        <f t="shared" si="0"/>
        <v>-5</v>
      </c>
      <c r="F19" s="83">
        <f t="shared" si="1"/>
        <v>2.5935000000000001</v>
      </c>
      <c r="G19" s="83">
        <f t="shared" si="2"/>
        <v>2.3465000000000003</v>
      </c>
      <c r="H19" s="83">
        <f t="shared" si="3"/>
        <v>330.38216560509557</v>
      </c>
      <c r="I19" s="83">
        <f t="shared" si="4"/>
        <v>298.91719745222935</v>
      </c>
      <c r="J19" s="83">
        <f t="shared" si="5"/>
        <v>20.509891226519194</v>
      </c>
      <c r="K19" s="83">
        <f t="shared" si="6"/>
        <v>19.50879792292665</v>
      </c>
    </row>
    <row r="20" spans="1:11" x14ac:dyDescent="0.3">
      <c r="A20" s="6">
        <v>22</v>
      </c>
      <c r="B20" s="6">
        <v>380</v>
      </c>
      <c r="C20" s="6">
        <v>2.98</v>
      </c>
      <c r="D20" s="6">
        <v>5</v>
      </c>
      <c r="E20" s="6">
        <f t="shared" si="0"/>
        <v>-5</v>
      </c>
      <c r="F20" s="83">
        <f t="shared" si="1"/>
        <v>3.129</v>
      </c>
      <c r="G20" s="83">
        <f t="shared" si="2"/>
        <v>2.831</v>
      </c>
      <c r="H20" s="83">
        <f t="shared" si="3"/>
        <v>398.59872611464971</v>
      </c>
      <c r="I20" s="83">
        <f t="shared" si="4"/>
        <v>360.63694267515928</v>
      </c>
      <c r="J20" s="83">
        <f t="shared" si="5"/>
        <v>22.528019455119271</v>
      </c>
      <c r="K20" s="83">
        <f t="shared" si="6"/>
        <v>21.42842077023878</v>
      </c>
    </row>
    <row r="21" spans="1:11" x14ac:dyDescent="0.3">
      <c r="A21" s="6">
        <v>25</v>
      </c>
      <c r="B21" s="6">
        <v>491</v>
      </c>
      <c r="C21" s="6">
        <v>3.85</v>
      </c>
      <c r="D21" s="6">
        <v>4</v>
      </c>
      <c r="E21" s="6">
        <f t="shared" si="0"/>
        <v>-4</v>
      </c>
      <c r="F21" s="83">
        <f t="shared" si="1"/>
        <v>4.0040000000000004</v>
      </c>
      <c r="G21" s="83">
        <f t="shared" si="2"/>
        <v>3.6959999999999997</v>
      </c>
      <c r="H21" s="83">
        <f t="shared" si="3"/>
        <v>510.06369426751598</v>
      </c>
      <c r="I21" s="83">
        <f t="shared" si="4"/>
        <v>470.82802547770694</v>
      </c>
      <c r="J21" s="83">
        <f t="shared" si="5"/>
        <v>25.483980573589896</v>
      </c>
      <c r="K21" s="83">
        <f t="shared" si="6"/>
        <v>24.484216565121933</v>
      </c>
    </row>
    <row r="22" spans="1:11" x14ac:dyDescent="0.3">
      <c r="A22" s="6">
        <v>28</v>
      </c>
      <c r="B22" s="6">
        <v>616</v>
      </c>
      <c r="C22" s="6">
        <v>4.83</v>
      </c>
      <c r="D22" s="6">
        <v>4</v>
      </c>
      <c r="E22" s="6">
        <f t="shared" si="0"/>
        <v>-4</v>
      </c>
      <c r="F22" s="83">
        <f t="shared" si="1"/>
        <v>5.0232000000000001</v>
      </c>
      <c r="G22" s="83">
        <f t="shared" si="2"/>
        <v>4.6368</v>
      </c>
      <c r="H22" s="83">
        <f t="shared" si="3"/>
        <v>639.89808917197456</v>
      </c>
      <c r="I22" s="83">
        <f t="shared" si="4"/>
        <v>590.67515923566884</v>
      </c>
      <c r="J22" s="83">
        <f t="shared" si="5"/>
        <v>28.543712998385921</v>
      </c>
      <c r="K22" s="83">
        <f t="shared" si="6"/>
        <v>27.423912391042833</v>
      </c>
    </row>
    <row r="23" spans="1:11" x14ac:dyDescent="0.3">
      <c r="A23" s="6">
        <v>32</v>
      </c>
      <c r="B23" s="6">
        <v>804</v>
      </c>
      <c r="C23" s="6">
        <v>6.31</v>
      </c>
      <c r="D23" s="6">
        <v>4</v>
      </c>
      <c r="E23" s="6">
        <f t="shared" si="0"/>
        <v>-4</v>
      </c>
      <c r="F23" s="83">
        <f t="shared" si="1"/>
        <v>6.5624000000000002</v>
      </c>
      <c r="G23" s="83">
        <f t="shared" si="2"/>
        <v>6.057599999999999</v>
      </c>
      <c r="H23" s="83">
        <f t="shared" si="3"/>
        <v>835.9745222929937</v>
      </c>
      <c r="I23" s="83">
        <f t="shared" si="4"/>
        <v>771.66878980891704</v>
      </c>
      <c r="J23" s="83">
        <f t="shared" si="5"/>
        <v>32.625079619435823</v>
      </c>
      <c r="K23" s="83">
        <f t="shared" si="6"/>
        <v>31.34516260322539</v>
      </c>
    </row>
    <row r="24" spans="1:11" x14ac:dyDescent="0.3">
      <c r="A24" s="6">
        <v>36</v>
      </c>
      <c r="B24" s="6">
        <v>1018</v>
      </c>
      <c r="C24" s="6">
        <v>7.99</v>
      </c>
      <c r="D24" s="6">
        <v>4</v>
      </c>
      <c r="E24" s="6">
        <f t="shared" si="0"/>
        <v>-4</v>
      </c>
      <c r="F24" s="83">
        <f t="shared" si="1"/>
        <v>8.3095999999999997</v>
      </c>
      <c r="G24" s="83">
        <f t="shared" si="2"/>
        <v>7.6703999999999999</v>
      </c>
      <c r="H24" s="83">
        <f t="shared" si="3"/>
        <v>1058.5477707006371</v>
      </c>
      <c r="I24" s="83">
        <f t="shared" si="4"/>
        <v>977.12101910828028</v>
      </c>
      <c r="J24" s="83">
        <f t="shared" si="5"/>
        <v>36.712189823644415</v>
      </c>
      <c r="K24" s="83">
        <f t="shared" si="6"/>
        <v>35.271931071612521</v>
      </c>
    </row>
    <row r="25" spans="1:11" x14ac:dyDescent="0.3">
      <c r="A25" s="6">
        <v>40</v>
      </c>
      <c r="B25" s="6">
        <v>1257</v>
      </c>
      <c r="C25" s="6">
        <v>9.8699999999999992</v>
      </c>
      <c r="D25" s="6">
        <v>4</v>
      </c>
      <c r="E25" s="6">
        <f t="shared" si="0"/>
        <v>-4</v>
      </c>
      <c r="F25" s="83">
        <f t="shared" si="1"/>
        <v>10.264799999999999</v>
      </c>
      <c r="G25" s="83">
        <f t="shared" si="2"/>
        <v>9.4751999999999992</v>
      </c>
      <c r="H25" s="83">
        <f t="shared" si="3"/>
        <v>1307.6178343949043</v>
      </c>
      <c r="I25" s="83">
        <f t="shared" si="4"/>
        <v>1207.0318471337578</v>
      </c>
      <c r="J25" s="83">
        <f t="shared" si="5"/>
        <v>40.803317710114548</v>
      </c>
      <c r="K25" s="83">
        <f t="shared" si="6"/>
        <v>39.202559604258347</v>
      </c>
    </row>
    <row r="26" spans="1:11" x14ac:dyDescent="0.3">
      <c r="A26" s="6">
        <v>50</v>
      </c>
      <c r="B26" s="6">
        <v>1964</v>
      </c>
      <c r="C26" s="6">
        <v>15.42</v>
      </c>
      <c r="D26" s="6">
        <v>4</v>
      </c>
      <c r="E26" s="6">
        <f t="shared" si="0"/>
        <v>-4</v>
      </c>
      <c r="F26" s="83">
        <f t="shared" si="1"/>
        <v>16.036799999999999</v>
      </c>
      <c r="G26" s="83">
        <f t="shared" si="2"/>
        <v>14.803199999999999</v>
      </c>
      <c r="H26" s="83">
        <f t="shared" si="3"/>
        <v>2042.904458598726</v>
      </c>
      <c r="I26" s="83">
        <f t="shared" si="4"/>
        <v>1885.7579617834394</v>
      </c>
      <c r="J26" s="83">
        <f t="shared" si="5"/>
        <v>51.001046487338627</v>
      </c>
      <c r="K26" s="83">
        <f t="shared" si="6"/>
        <v>49.000220496869751</v>
      </c>
    </row>
  </sheetData>
  <sheetProtection algorithmName="SHA-512" hashValue="asH7TCt00zPqUtFceFT3Pxb6nvSBSK5ZcXgbyfUK7wxjOFBKN/yq6+IdK57SboEUhfS2cSvpuN6p5hp+ZStWAQ==" saltValue="PjkfOLUxn/X4Y8Cn+bVSIw==" spinCount="100000" sheet="1" objects="1" scenarios="1" selectLockedCells="1"/>
  <mergeCells count="1">
    <mergeCell ref="F7:M8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راهنما</vt:lpstr>
      <vt:lpstr>ورود اطلاعات آزمایشگاهی</vt:lpstr>
      <vt:lpstr>کنترل نتایج آزمایشگاهی</vt:lpstr>
      <vt:lpstr>DataBase</vt:lpstr>
      <vt:lpstr>راهنما!Print_Area</vt:lpstr>
      <vt:lpstr>'کنترل نتایج آزمایشگاهی'!Print_Area</vt:lpstr>
      <vt:lpstr>'ورود اطلاعات آزمایشگاهی'!Print_Area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mohammad</cp:lastModifiedBy>
  <cp:lastPrinted>2018-11-09T16:10:37Z</cp:lastPrinted>
  <dcterms:created xsi:type="dcterms:W3CDTF">2018-02-10T16:00:20Z</dcterms:created>
  <dcterms:modified xsi:type="dcterms:W3CDTF">2018-11-09T17:10:03Z</dcterms:modified>
</cp:coreProperties>
</file>